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eid\Documents\golf\JPMGC\Rules committee\"/>
    </mc:Choice>
  </mc:AlternateContent>
  <xr:revisionPtr revIDLastSave="0" documentId="13_ncr:1_{83FC0F3A-6E80-48CC-8F32-9587CD0C6203}" xr6:coauthVersionLast="47" xr6:coauthVersionMax="47" xr10:uidLastSave="{00000000-0000-0000-0000-000000000000}"/>
  <bookViews>
    <workbookView xWindow="-108" yWindow="-108" windowWidth="23256" windowHeight="12576" tabRatio="646" xr2:uid="{7AC73614-B974-4B8A-81A5-5FD698C3A6A9}"/>
    <workbookView xWindow="-108" yWindow="-108" windowWidth="23256" windowHeight="12576" xr2:uid="{3EA7B07B-301C-4E09-AF2A-18CA28F94628}"/>
    <workbookView xWindow="-108" yWindow="-108" windowWidth="23256" windowHeight="12576" firstSheet="10" activeTab="14" xr2:uid="{67993625-1D29-49A6-979D-59EA065A45E6}"/>
  </bookViews>
  <sheets>
    <sheet name="All players" sheetId="1" r:id="rId1"/>
    <sheet name="Classic day 1 - groups" sheetId="4" r:id="rId2"/>
    <sheet name="Classic day 1 - players" sheetId="14" r:id="rId3"/>
    <sheet name="Classic day 2 - groups" sheetId="5" r:id="rId4"/>
    <sheet name="Classic day 2 - players" sheetId="10" r:id="rId5"/>
    <sheet name="Summer FD - groups" sheetId="6" r:id="rId6"/>
    <sheet name="Summer FD - players" sheetId="11" r:id="rId7"/>
    <sheet name="6-6-6 - groups" sheetId="7" r:id="rId8"/>
    <sheet name="6-6-6 - players" sheetId="12" r:id="rId9"/>
    <sheet name="Fall FD - groups" sheetId="8" r:id="rId10"/>
    <sheet name="Fall FD - players" sheetId="13" r:id="rId11"/>
    <sheet name="Stableford - groups" sheetId="16" r:id="rId12"/>
    <sheet name="Stableford - players" sheetId="15" r:id="rId13"/>
    <sheet name="Turkey Shoot - groups" sheetId="19" r:id="rId14"/>
    <sheet name="Turkey Shoot - players" sheetId="20" r:id="rId15"/>
    <sheet name="penalty lookup" sheetId="2" r:id="rId16"/>
    <sheet name="correlations" sheetId="3" r:id="rId17"/>
  </sheets>
  <definedNames>
    <definedName name="_xlnm._FilterDatabase" localSheetId="12" hidden="1">'Stableford - players'!$A$1:$E$60</definedName>
    <definedName name="_xlnm._FilterDatabase" localSheetId="14" hidden="1">'Turkey Shoot - players'!$A$1:$E$51</definedName>
    <definedName name="Maximum_round_time">'penalty lookup'!$A$2</definedName>
    <definedName name="standard_round_time">'penalty lookup'!$B$2</definedName>
    <definedName name="starting_interval">'penalty lookup'!$F$2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40" i="1" l="1"/>
  <c r="AO211" i="1"/>
  <c r="AN3" i="1"/>
  <c r="AN4" i="1"/>
  <c r="AN5" i="1"/>
  <c r="AN6" i="1"/>
  <c r="AQ6" i="1" s="1"/>
  <c r="AN9" i="1"/>
  <c r="AO9" i="1" s="1"/>
  <c r="AN8" i="1"/>
  <c r="AN7" i="1"/>
  <c r="AN10" i="1"/>
  <c r="AO10" i="1" s="1"/>
  <c r="AN11" i="1"/>
  <c r="AO11" i="1" s="1"/>
  <c r="AN13" i="1"/>
  <c r="AQ13" i="1" s="1"/>
  <c r="AN12" i="1"/>
  <c r="AN14" i="1"/>
  <c r="AQ14" i="1" s="1"/>
  <c r="AN15" i="1"/>
  <c r="AO15" i="1" s="1"/>
  <c r="AN18" i="1"/>
  <c r="AN16" i="1"/>
  <c r="AN20" i="1"/>
  <c r="AP20" i="1" s="1"/>
  <c r="AN17" i="1"/>
  <c r="AO17" i="1" s="1"/>
  <c r="AN21" i="1"/>
  <c r="AN22" i="1"/>
  <c r="AN23" i="1"/>
  <c r="AQ23" i="1" s="1"/>
  <c r="AN19" i="1"/>
  <c r="AO19" i="1" s="1"/>
  <c r="AN24" i="1"/>
  <c r="AN25" i="1"/>
  <c r="AN27" i="1"/>
  <c r="AO27" i="1" s="1"/>
  <c r="AN29" i="1"/>
  <c r="AO29" i="1" s="1"/>
  <c r="AN30" i="1"/>
  <c r="AQ30" i="1" s="1"/>
  <c r="AN31" i="1"/>
  <c r="AN33" i="1"/>
  <c r="AQ33" i="1" s="1"/>
  <c r="AN34" i="1"/>
  <c r="AO34" i="1" s="1"/>
  <c r="AN26" i="1"/>
  <c r="AN28" i="1"/>
  <c r="AN35" i="1"/>
  <c r="AP35" i="1" s="1"/>
  <c r="AN36" i="1"/>
  <c r="AO36" i="1" s="1"/>
  <c r="AN32" i="1"/>
  <c r="AN37" i="1"/>
  <c r="AN40" i="1"/>
  <c r="AQ40" i="1" s="1"/>
  <c r="AN41" i="1"/>
  <c r="AO41" i="1" s="1"/>
  <c r="AN38" i="1"/>
  <c r="AN39" i="1"/>
  <c r="AN42" i="1"/>
  <c r="AO42" i="1" s="1"/>
  <c r="AN44" i="1"/>
  <c r="AO44" i="1" s="1"/>
  <c r="AN45" i="1"/>
  <c r="AQ45" i="1" s="1"/>
  <c r="AN47" i="1"/>
  <c r="AN49" i="1"/>
  <c r="AQ49" i="1" s="1"/>
  <c r="AN50" i="1"/>
  <c r="AP50" i="1" s="1"/>
  <c r="AN53" i="1"/>
  <c r="AN54" i="1"/>
  <c r="AN57" i="1"/>
  <c r="AO57" i="1" s="1"/>
  <c r="AN58" i="1"/>
  <c r="AO58" i="1" s="1"/>
  <c r="AN59" i="1"/>
  <c r="AN60" i="1"/>
  <c r="AN56" i="1"/>
  <c r="AQ56" i="1" s="1"/>
  <c r="AN61" i="1"/>
  <c r="AP61" i="1" s="1"/>
  <c r="AN62" i="1"/>
  <c r="AN63" i="1"/>
  <c r="AN65" i="1"/>
  <c r="AQ65" i="1" s="1"/>
  <c r="AN66" i="1"/>
  <c r="AO66" i="1" s="1"/>
  <c r="AN67" i="1"/>
  <c r="AQ67" i="1" s="1"/>
  <c r="AN68" i="1"/>
  <c r="AN69" i="1"/>
  <c r="AQ69" i="1" s="1"/>
  <c r="AN70" i="1"/>
  <c r="AP70" i="1" s="1"/>
  <c r="AN71" i="1"/>
  <c r="AN72" i="1"/>
  <c r="AN51" i="1"/>
  <c r="AQ51" i="1" s="1"/>
  <c r="AN52" i="1"/>
  <c r="AO52" i="1" s="1"/>
  <c r="AN46" i="1"/>
  <c r="AN75" i="1"/>
  <c r="AN76" i="1"/>
  <c r="AQ76" i="1" s="1"/>
  <c r="AN77" i="1"/>
  <c r="AP77" i="1" s="1"/>
  <c r="AN78" i="1"/>
  <c r="AN64" i="1"/>
  <c r="AN79" i="1"/>
  <c r="AQ79" i="1" s="1"/>
  <c r="AN80" i="1"/>
  <c r="AO80" i="1" s="1"/>
  <c r="AN82" i="1"/>
  <c r="AQ82" i="1" s="1"/>
  <c r="AN73" i="1"/>
  <c r="AN74" i="1"/>
  <c r="AQ74" i="1" s="1"/>
  <c r="AN48" i="1"/>
  <c r="AP48" i="1" s="1"/>
  <c r="AN83" i="1"/>
  <c r="AN84" i="1"/>
  <c r="AN85" i="1"/>
  <c r="AQ85" i="1" s="1"/>
  <c r="AN87" i="1"/>
  <c r="AO87" i="1" s="1"/>
  <c r="AN86" i="1"/>
  <c r="AR86" i="1" s="1"/>
  <c r="AN88" i="1"/>
  <c r="AN89" i="1"/>
  <c r="AQ89" i="1" s="1"/>
  <c r="AN90" i="1"/>
  <c r="AO90" i="1" s="1"/>
  <c r="AN43" i="1"/>
  <c r="AR43" i="1" s="1"/>
  <c r="AN91" i="1"/>
  <c r="AN93" i="1"/>
  <c r="AQ93" i="1" s="1"/>
  <c r="AN94" i="1"/>
  <c r="AO94" i="1" s="1"/>
  <c r="AN95" i="1"/>
  <c r="AR95" i="1" s="1"/>
  <c r="AN96" i="1"/>
  <c r="AN81" i="1"/>
  <c r="AQ81" i="1" s="1"/>
  <c r="AN97" i="1"/>
  <c r="AO97" i="1" s="1"/>
  <c r="AN98" i="1"/>
  <c r="AR98" i="1" s="1"/>
  <c r="AN99" i="1"/>
  <c r="AN100" i="1"/>
  <c r="AQ100" i="1" s="1"/>
  <c r="AN101" i="1"/>
  <c r="AO101" i="1" s="1"/>
  <c r="AN102" i="1"/>
  <c r="AR102" i="1" s="1"/>
  <c r="AN103" i="1"/>
  <c r="AN104" i="1"/>
  <c r="AQ104" i="1" s="1"/>
  <c r="AN105" i="1"/>
  <c r="AO105" i="1" s="1"/>
  <c r="AN106" i="1"/>
  <c r="AR106" i="1" s="1"/>
  <c r="AN107" i="1"/>
  <c r="AN108" i="1"/>
  <c r="AQ108" i="1" s="1"/>
  <c r="AN109" i="1"/>
  <c r="AO109" i="1" s="1"/>
  <c r="AN110" i="1"/>
  <c r="AR110" i="1" s="1"/>
  <c r="AN112" i="1"/>
  <c r="AN113" i="1"/>
  <c r="AQ113" i="1" s="1"/>
  <c r="AN114" i="1"/>
  <c r="AO114" i="1" s="1"/>
  <c r="AN115" i="1"/>
  <c r="AR115" i="1" s="1"/>
  <c r="AN116" i="1"/>
  <c r="AN117" i="1"/>
  <c r="AQ117" i="1" s="1"/>
  <c r="AN118" i="1"/>
  <c r="AO118" i="1" s="1"/>
  <c r="AN119" i="1"/>
  <c r="AR119" i="1" s="1"/>
  <c r="AN120" i="1"/>
  <c r="AN111" i="1"/>
  <c r="AQ111" i="1" s="1"/>
  <c r="AN121" i="1"/>
  <c r="AO121" i="1" s="1"/>
  <c r="AN55" i="1"/>
  <c r="AR55" i="1" s="1"/>
  <c r="AN122" i="1"/>
  <c r="AN123" i="1"/>
  <c r="AQ123" i="1" s="1"/>
  <c r="AN124" i="1"/>
  <c r="AO124" i="1" s="1"/>
  <c r="AN125" i="1"/>
  <c r="AR125" i="1" s="1"/>
  <c r="AN126" i="1"/>
  <c r="AN127" i="1"/>
  <c r="AQ127" i="1" s="1"/>
  <c r="AN128" i="1"/>
  <c r="AO128" i="1" s="1"/>
  <c r="AN129" i="1"/>
  <c r="AR129" i="1" s="1"/>
  <c r="AN130" i="1"/>
  <c r="AN131" i="1"/>
  <c r="AQ131" i="1" s="1"/>
  <c r="AN132" i="1"/>
  <c r="AO132" i="1" s="1"/>
  <c r="AN133" i="1"/>
  <c r="AR133" i="1" s="1"/>
  <c r="AN155" i="1"/>
  <c r="AN134" i="1"/>
  <c r="AQ134" i="1" s="1"/>
  <c r="AN135" i="1"/>
  <c r="AO135" i="1" s="1"/>
  <c r="AN136" i="1"/>
  <c r="AR136" i="1" s="1"/>
  <c r="AN137" i="1"/>
  <c r="AN138" i="1"/>
  <c r="AQ138" i="1" s="1"/>
  <c r="AN139" i="1"/>
  <c r="AO139" i="1" s="1"/>
  <c r="AN140" i="1"/>
  <c r="AR140" i="1" s="1"/>
  <c r="AN141" i="1"/>
  <c r="AN142" i="1"/>
  <c r="AQ142" i="1" s="1"/>
  <c r="AN143" i="1"/>
  <c r="AO143" i="1" s="1"/>
  <c r="AN144" i="1"/>
  <c r="AR144" i="1" s="1"/>
  <c r="AN145" i="1"/>
  <c r="AN146" i="1"/>
  <c r="AQ146" i="1" s="1"/>
  <c r="AN147" i="1"/>
  <c r="AO147" i="1" s="1"/>
  <c r="AN148" i="1"/>
  <c r="AR148" i="1" s="1"/>
  <c r="AN149" i="1"/>
  <c r="AN150" i="1"/>
  <c r="AQ150" i="1" s="1"/>
  <c r="AN151" i="1"/>
  <c r="AO151" i="1" s="1"/>
  <c r="AN152" i="1"/>
  <c r="AR152" i="1" s="1"/>
  <c r="AN153" i="1"/>
  <c r="AN154" i="1"/>
  <c r="AQ154" i="1" s="1"/>
  <c r="AN159" i="1"/>
  <c r="AO159" i="1" s="1"/>
  <c r="AN156" i="1"/>
  <c r="AR156" i="1" s="1"/>
  <c r="AN157" i="1"/>
  <c r="AN158" i="1"/>
  <c r="AQ158" i="1" s="1"/>
  <c r="AN170" i="1"/>
  <c r="AO170" i="1" s="1"/>
  <c r="AN160" i="1"/>
  <c r="AR160" i="1" s="1"/>
  <c r="AN161" i="1"/>
  <c r="AN162" i="1"/>
  <c r="AQ162" i="1" s="1"/>
  <c r="AN163" i="1"/>
  <c r="AO163" i="1" s="1"/>
  <c r="AN164" i="1"/>
  <c r="AR164" i="1" s="1"/>
  <c r="AN165" i="1"/>
  <c r="AN166" i="1"/>
  <c r="AQ166" i="1" s="1"/>
  <c r="AN167" i="1"/>
  <c r="AO167" i="1" s="1"/>
  <c r="AN168" i="1"/>
  <c r="AR168" i="1" s="1"/>
  <c r="AN169" i="1"/>
  <c r="AN171" i="1"/>
  <c r="AQ171" i="1" s="1"/>
  <c r="AN92" i="1"/>
  <c r="AO92" i="1" s="1"/>
  <c r="AN172" i="1"/>
  <c r="AR172" i="1" s="1"/>
  <c r="AN173" i="1"/>
  <c r="AN174" i="1"/>
  <c r="AQ174" i="1" s="1"/>
  <c r="AN175" i="1"/>
  <c r="AO175" i="1" s="1"/>
  <c r="AN176" i="1"/>
  <c r="AR176" i="1" s="1"/>
  <c r="AN177" i="1"/>
  <c r="AN178" i="1"/>
  <c r="AQ178" i="1" s="1"/>
  <c r="AN179" i="1"/>
  <c r="AO179" i="1" s="1"/>
  <c r="AN182" i="1"/>
  <c r="AR182" i="1" s="1"/>
  <c r="AN181" i="1"/>
  <c r="AN199" i="1"/>
  <c r="AQ199" i="1" s="1"/>
  <c r="AN183" i="1"/>
  <c r="AO183" i="1" s="1"/>
  <c r="AN184" i="1"/>
  <c r="AR184" i="1" s="1"/>
  <c r="AN185" i="1"/>
  <c r="AN186" i="1"/>
  <c r="AQ186" i="1" s="1"/>
  <c r="AN187" i="1"/>
  <c r="AO187" i="1" s="1"/>
  <c r="AN188" i="1"/>
  <c r="AR188" i="1" s="1"/>
  <c r="AN189" i="1"/>
  <c r="AN190" i="1"/>
  <c r="AQ190" i="1" s="1"/>
  <c r="AN191" i="1"/>
  <c r="AO191" i="1" s="1"/>
  <c r="AN192" i="1"/>
  <c r="AR192" i="1" s="1"/>
  <c r="AN193" i="1"/>
  <c r="AN194" i="1"/>
  <c r="AQ194" i="1" s="1"/>
  <c r="AN195" i="1"/>
  <c r="AO195" i="1" s="1"/>
  <c r="AN196" i="1"/>
  <c r="AR196" i="1" s="1"/>
  <c r="AN197" i="1"/>
  <c r="AN198" i="1"/>
  <c r="AQ198" i="1" s="1"/>
  <c r="AN180" i="1"/>
  <c r="AO180" i="1" s="1"/>
  <c r="AN200" i="1"/>
  <c r="AR200" i="1" s="1"/>
  <c r="AN201" i="1"/>
  <c r="AN202" i="1"/>
  <c r="AQ202" i="1" s="1"/>
  <c r="AN203" i="1"/>
  <c r="AO203" i="1" s="1"/>
  <c r="AN204" i="1"/>
  <c r="AR204" i="1" s="1"/>
  <c r="AN205" i="1"/>
  <c r="AN206" i="1"/>
  <c r="AQ206" i="1" s="1"/>
  <c r="AN207" i="1"/>
  <c r="AO207" i="1" s="1"/>
  <c r="AN208" i="1"/>
  <c r="AR208" i="1" s="1"/>
  <c r="AN209" i="1"/>
  <c r="AN210" i="1"/>
  <c r="AQ210" i="1" s="1"/>
  <c r="AN211" i="1"/>
  <c r="AN212" i="1"/>
  <c r="AR212" i="1" s="1"/>
  <c r="AN213" i="1"/>
  <c r="AN214" i="1"/>
  <c r="AQ214" i="1" s="1"/>
  <c r="AN215" i="1"/>
  <c r="AO215" i="1" s="1"/>
  <c r="AN216" i="1"/>
  <c r="AR216" i="1" s="1"/>
  <c r="AN217" i="1"/>
  <c r="AN218" i="1"/>
  <c r="AQ218" i="1" s="1"/>
  <c r="AN219" i="1"/>
  <c r="AO219" i="1" s="1"/>
  <c r="AN220" i="1"/>
  <c r="AR220" i="1" s="1"/>
  <c r="AN221" i="1"/>
  <c r="AN222" i="1"/>
  <c r="AQ222" i="1" s="1"/>
  <c r="AN223" i="1"/>
  <c r="AO223" i="1" s="1"/>
  <c r="AN224" i="1"/>
  <c r="AR224" i="1" s="1"/>
  <c r="AN225" i="1"/>
  <c r="AN226" i="1"/>
  <c r="AQ226" i="1" s="1"/>
  <c r="AN227" i="1"/>
  <c r="AO227" i="1" s="1"/>
  <c r="AN228" i="1"/>
  <c r="AR228" i="1" s="1"/>
  <c r="AN229" i="1"/>
  <c r="AN230" i="1"/>
  <c r="AQ230" i="1" s="1"/>
  <c r="AN231" i="1"/>
  <c r="AO231" i="1" s="1"/>
  <c r="AN232" i="1"/>
  <c r="AR232" i="1" s="1"/>
  <c r="D15" i="19"/>
  <c r="D14" i="19"/>
  <c r="D13" i="19"/>
  <c r="D12" i="19"/>
  <c r="D11" i="19"/>
  <c r="D10" i="19"/>
  <c r="D9" i="19"/>
  <c r="D8" i="19"/>
  <c r="D7" i="19"/>
  <c r="D6" i="19"/>
  <c r="D5" i="19"/>
  <c r="D4" i="19"/>
  <c r="D3" i="19"/>
  <c r="E51" i="20"/>
  <c r="E50" i="20"/>
  <c r="E49" i="20"/>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6" i="20"/>
  <c r="E5" i="20"/>
  <c r="E4" i="20"/>
  <c r="E3" i="20"/>
  <c r="E2" i="20"/>
  <c r="F15" i="19"/>
  <c r="F14" i="19"/>
  <c r="F13" i="19"/>
  <c r="F12" i="19"/>
  <c r="F11" i="19"/>
  <c r="F10" i="19"/>
  <c r="F9" i="19"/>
  <c r="F8" i="19"/>
  <c r="F7" i="19"/>
  <c r="F6" i="19"/>
  <c r="F5" i="19"/>
  <c r="F4" i="19"/>
  <c r="F3" i="19"/>
  <c r="E3" i="15"/>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2" i="15"/>
  <c r="AH134" i="1"/>
  <c r="AI134" i="1" s="1"/>
  <c r="AH135" i="1"/>
  <c r="AK135" i="1" s="1"/>
  <c r="AH136" i="1"/>
  <c r="AI136" i="1" s="1"/>
  <c r="AH137" i="1"/>
  <c r="AK137" i="1" s="1"/>
  <c r="AH138" i="1"/>
  <c r="AI138" i="1" s="1"/>
  <c r="AH139" i="1"/>
  <c r="AK139" i="1" s="1"/>
  <c r="AH140" i="1"/>
  <c r="AI140" i="1" s="1"/>
  <c r="AH141" i="1"/>
  <c r="AK141" i="1" s="1"/>
  <c r="AH142" i="1"/>
  <c r="AI142" i="1" s="1"/>
  <c r="AH143" i="1"/>
  <c r="AK143" i="1" s="1"/>
  <c r="AH144" i="1"/>
  <c r="AI144" i="1" s="1"/>
  <c r="AH145" i="1"/>
  <c r="AK145" i="1" s="1"/>
  <c r="AH146" i="1"/>
  <c r="AI146" i="1" s="1"/>
  <c r="AH147" i="1"/>
  <c r="AK147" i="1" s="1"/>
  <c r="AH148" i="1"/>
  <c r="AI148" i="1" s="1"/>
  <c r="AH149" i="1"/>
  <c r="AK149" i="1" s="1"/>
  <c r="AH150" i="1"/>
  <c r="AI150" i="1" s="1"/>
  <c r="AH151" i="1"/>
  <c r="AK151" i="1" s="1"/>
  <c r="AH152" i="1"/>
  <c r="AI152" i="1" s="1"/>
  <c r="AH153" i="1"/>
  <c r="AK153" i="1" s="1"/>
  <c r="AH154" i="1"/>
  <c r="AI154" i="1" s="1"/>
  <c r="AH128" i="1"/>
  <c r="AK128" i="1" s="1"/>
  <c r="AH156" i="1"/>
  <c r="AI156" i="1" s="1"/>
  <c r="AH157" i="1"/>
  <c r="AK157" i="1" s="1"/>
  <c r="AH158" i="1"/>
  <c r="AI158" i="1" s="1"/>
  <c r="AH51" i="1"/>
  <c r="AK51" i="1" s="1"/>
  <c r="AH160" i="1"/>
  <c r="AI160" i="1" s="1"/>
  <c r="AH161" i="1"/>
  <c r="AK161" i="1" s="1"/>
  <c r="AH162" i="1"/>
  <c r="AI162" i="1" s="1"/>
  <c r="AH163" i="1"/>
  <c r="AK163" i="1" s="1"/>
  <c r="AH164" i="1"/>
  <c r="AI164" i="1" s="1"/>
  <c r="AH165" i="1"/>
  <c r="AK165" i="1" s="1"/>
  <c r="AH166" i="1"/>
  <c r="AI166" i="1" s="1"/>
  <c r="AH167" i="1"/>
  <c r="AK167" i="1" s="1"/>
  <c r="AH168" i="1"/>
  <c r="AI168" i="1" s="1"/>
  <c r="AH169" i="1"/>
  <c r="AK169" i="1" s="1"/>
  <c r="AH129" i="1"/>
  <c r="AI129" i="1" s="1"/>
  <c r="AH92" i="1"/>
  <c r="AK92" i="1" s="1"/>
  <c r="AH172" i="1"/>
  <c r="AI172" i="1" s="1"/>
  <c r="AH173" i="1"/>
  <c r="AK173" i="1" s="1"/>
  <c r="AH174" i="1"/>
  <c r="AI174" i="1" s="1"/>
  <c r="AH175" i="1"/>
  <c r="AK175" i="1" s="1"/>
  <c r="AH176" i="1"/>
  <c r="AI176" i="1" s="1"/>
  <c r="AH177" i="1"/>
  <c r="AK177" i="1" s="1"/>
  <c r="AH178" i="1"/>
  <c r="AI178" i="1" s="1"/>
  <c r="AH179" i="1"/>
  <c r="AK179" i="1" s="1"/>
  <c r="AH121" i="1"/>
  <c r="AI121" i="1" s="1"/>
  <c r="AH181" i="1"/>
  <c r="AK181" i="1" s="1"/>
  <c r="AH60" i="1"/>
  <c r="AI60" i="1" s="1"/>
  <c r="AH183" i="1"/>
  <c r="AK183" i="1" s="1"/>
  <c r="AH184" i="1"/>
  <c r="AI184" i="1" s="1"/>
  <c r="AH185" i="1"/>
  <c r="AK185" i="1" s="1"/>
  <c r="AH186" i="1"/>
  <c r="AI186" i="1" s="1"/>
  <c r="AH187" i="1"/>
  <c r="AK187" i="1" s="1"/>
  <c r="AH188" i="1"/>
  <c r="AI188" i="1" s="1"/>
  <c r="AH189" i="1"/>
  <c r="AK189" i="1" s="1"/>
  <c r="AH190" i="1"/>
  <c r="AI190" i="1" s="1"/>
  <c r="AH191" i="1"/>
  <c r="AI191" i="1" s="1"/>
  <c r="AH192" i="1"/>
  <c r="AJ192" i="1" s="1"/>
  <c r="AH193" i="1"/>
  <c r="AJ193" i="1" s="1"/>
  <c r="AH194" i="1"/>
  <c r="AJ194" i="1" s="1"/>
  <c r="AH195" i="1"/>
  <c r="AI195" i="1" s="1"/>
  <c r="AH196" i="1"/>
  <c r="AJ196" i="1" s="1"/>
  <c r="AH197" i="1"/>
  <c r="AJ197" i="1" s="1"/>
  <c r="AH198" i="1"/>
  <c r="AJ198" i="1" s="1"/>
  <c r="AH5" i="1"/>
  <c r="AI5" i="1" s="1"/>
  <c r="AH200" i="1"/>
  <c r="AJ200" i="1" s="1"/>
  <c r="AH201" i="1"/>
  <c r="AI201" i="1" s="1"/>
  <c r="AH52" i="1"/>
  <c r="AJ52" i="1" s="1"/>
  <c r="AH203" i="1"/>
  <c r="AK203" i="1" s="1"/>
  <c r="AH204" i="1"/>
  <c r="AJ204" i="1" s="1"/>
  <c r="AH205" i="1"/>
  <c r="AI205" i="1" s="1"/>
  <c r="AH206" i="1"/>
  <c r="AJ206" i="1" s="1"/>
  <c r="AH207" i="1"/>
  <c r="AK207" i="1" s="1"/>
  <c r="AH208" i="1"/>
  <c r="AJ208" i="1" s="1"/>
  <c r="AH209" i="1"/>
  <c r="AI209" i="1" s="1"/>
  <c r="AH210" i="1"/>
  <c r="AJ210" i="1" s="1"/>
  <c r="AH211" i="1"/>
  <c r="AK211" i="1" s="1"/>
  <c r="AH212" i="1"/>
  <c r="AJ212" i="1" s="1"/>
  <c r="AH213" i="1"/>
  <c r="AI213" i="1" s="1"/>
  <c r="AH214" i="1"/>
  <c r="AJ214" i="1" s="1"/>
  <c r="AH215" i="1"/>
  <c r="AK215" i="1" s="1"/>
  <c r="AH216" i="1"/>
  <c r="AJ216" i="1" s="1"/>
  <c r="AH217" i="1"/>
  <c r="AI217" i="1" s="1"/>
  <c r="AH218" i="1"/>
  <c r="AJ218" i="1" s="1"/>
  <c r="AH219" i="1"/>
  <c r="AK219" i="1" s="1"/>
  <c r="AH220" i="1"/>
  <c r="AJ220" i="1" s="1"/>
  <c r="AH221" i="1"/>
  <c r="AI221" i="1" s="1"/>
  <c r="AH222" i="1"/>
  <c r="AJ222" i="1" s="1"/>
  <c r="AH223" i="1"/>
  <c r="AK223" i="1" s="1"/>
  <c r="AH224" i="1"/>
  <c r="AJ224" i="1" s="1"/>
  <c r="AH225" i="1"/>
  <c r="AI225" i="1" s="1"/>
  <c r="AH226" i="1"/>
  <c r="AJ226" i="1" s="1"/>
  <c r="AH227" i="1"/>
  <c r="AK227" i="1" s="1"/>
  <c r="AH228" i="1"/>
  <c r="AJ228" i="1" s="1"/>
  <c r="AH229" i="1"/>
  <c r="AI229" i="1" s="1"/>
  <c r="AH230" i="1"/>
  <c r="AJ230" i="1" s="1"/>
  <c r="AH231" i="1"/>
  <c r="AK231" i="1" s="1"/>
  <c r="AH232" i="1"/>
  <c r="AJ232" i="1" s="1"/>
  <c r="AH4" i="1"/>
  <c r="AH6" i="1"/>
  <c r="AH8" i="1"/>
  <c r="AH11" i="1"/>
  <c r="AJ11" i="1" s="1"/>
  <c r="AH10" i="1"/>
  <c r="AH9" i="1"/>
  <c r="AH7" i="1"/>
  <c r="AH14" i="1"/>
  <c r="AH15" i="1"/>
  <c r="AL15" i="1" s="1"/>
  <c r="AH13" i="1"/>
  <c r="AH18" i="1"/>
  <c r="AH16" i="1"/>
  <c r="AH20" i="1"/>
  <c r="AH22" i="1"/>
  <c r="AH12" i="1"/>
  <c r="AJ12" i="1" s="1"/>
  <c r="AH23" i="1"/>
  <c r="AH24" i="1"/>
  <c r="AH25" i="1"/>
  <c r="AH27" i="1"/>
  <c r="AH29" i="1"/>
  <c r="AK29" i="1" s="1"/>
  <c r="AH19" i="1"/>
  <c r="AH31" i="1"/>
  <c r="AH33" i="1"/>
  <c r="AL33" i="1" s="1"/>
  <c r="AH34" i="1"/>
  <c r="AH26" i="1"/>
  <c r="AJ26" i="1" s="1"/>
  <c r="AH17" i="1"/>
  <c r="AH21" i="1"/>
  <c r="AH28" i="1"/>
  <c r="AH35" i="1"/>
  <c r="AH36" i="1"/>
  <c r="AH37" i="1"/>
  <c r="AK37" i="1" s="1"/>
  <c r="AH40" i="1"/>
  <c r="AH41" i="1"/>
  <c r="AH38" i="1"/>
  <c r="AH39" i="1"/>
  <c r="AH42" i="1"/>
  <c r="AH30" i="1"/>
  <c r="AH45" i="1"/>
  <c r="AH47" i="1"/>
  <c r="AH49" i="1"/>
  <c r="AH50" i="1"/>
  <c r="AL50" i="1" s="1"/>
  <c r="AH57" i="1"/>
  <c r="AH58" i="1"/>
  <c r="AH59" i="1"/>
  <c r="AH32" i="1"/>
  <c r="AH56" i="1"/>
  <c r="AH61" i="1"/>
  <c r="AJ61" i="1" s="1"/>
  <c r="AH62" i="1"/>
  <c r="AH63" i="1"/>
  <c r="AH65" i="1"/>
  <c r="AH66" i="1"/>
  <c r="AH68" i="1"/>
  <c r="AH67" i="1"/>
  <c r="AH69" i="1"/>
  <c r="AH44" i="1"/>
  <c r="AL44" i="1" s="1"/>
  <c r="AH70" i="1"/>
  <c r="AH71" i="1"/>
  <c r="AH72" i="1"/>
  <c r="AH46" i="1"/>
  <c r="AH75" i="1"/>
  <c r="AH76" i="1"/>
  <c r="AH77" i="1"/>
  <c r="AH78" i="1"/>
  <c r="AK78" i="1" s="1"/>
  <c r="AH64" i="1"/>
  <c r="AH80" i="1"/>
  <c r="AH82" i="1"/>
  <c r="AK82" i="1" s="1"/>
  <c r="AH73" i="1"/>
  <c r="AH79" i="1"/>
  <c r="AH74" i="1"/>
  <c r="AH48" i="1"/>
  <c r="AH83" i="1"/>
  <c r="AH84" i="1"/>
  <c r="AH85" i="1"/>
  <c r="AL85" i="1" s="1"/>
  <c r="AH87" i="1"/>
  <c r="AH86" i="1"/>
  <c r="AH88" i="1"/>
  <c r="AL88" i="1" s="1"/>
  <c r="AH89" i="1"/>
  <c r="AH90" i="1"/>
  <c r="AH43" i="1"/>
  <c r="AH91" i="1"/>
  <c r="AH93" i="1"/>
  <c r="AH94" i="1"/>
  <c r="AH95" i="1"/>
  <c r="AH96" i="1"/>
  <c r="AH98" i="1"/>
  <c r="AH99" i="1"/>
  <c r="AH100" i="1"/>
  <c r="AI100" i="1" s="1"/>
  <c r="AH101" i="1"/>
  <c r="AH104" i="1"/>
  <c r="AH105" i="1"/>
  <c r="AH106" i="1"/>
  <c r="AK106" i="1" s="1"/>
  <c r="AH107" i="1"/>
  <c r="AH108" i="1"/>
  <c r="AH109" i="1"/>
  <c r="AH110" i="1"/>
  <c r="AI110" i="1" s="1"/>
  <c r="AH112" i="1"/>
  <c r="AH113" i="1"/>
  <c r="AH114" i="1"/>
  <c r="AK114" i="1" s="1"/>
  <c r="AH115" i="1"/>
  <c r="AK115" i="1" s="1"/>
  <c r="AH116" i="1"/>
  <c r="AH102" i="1"/>
  <c r="AH117" i="1"/>
  <c r="AH118" i="1"/>
  <c r="AI118" i="1" s="1"/>
  <c r="AH119" i="1"/>
  <c r="AH120" i="1"/>
  <c r="AH132" i="1"/>
  <c r="AH111" i="1"/>
  <c r="AK111" i="1" s="1"/>
  <c r="AH55" i="1"/>
  <c r="AL55" i="1" s="1"/>
  <c r="AH122" i="1"/>
  <c r="AH123" i="1"/>
  <c r="AH124" i="1"/>
  <c r="AI124" i="1" s="1"/>
  <c r="AH125" i="1"/>
  <c r="AH126" i="1"/>
  <c r="AH127" i="1"/>
  <c r="AH130" i="1"/>
  <c r="AI130" i="1" s="1"/>
  <c r="AH131" i="1"/>
  <c r="AH133" i="1"/>
  <c r="AH155" i="1"/>
  <c r="AH159" i="1"/>
  <c r="AL159" i="1" s="1"/>
  <c r="AH170" i="1"/>
  <c r="AH171" i="1"/>
  <c r="AH81" i="1"/>
  <c r="AH53" i="1"/>
  <c r="AK53" i="1" s="1"/>
  <c r="AH54" i="1"/>
  <c r="AH199" i="1"/>
  <c r="AH182" i="1"/>
  <c r="AH103" i="1"/>
  <c r="AI103" i="1" s="1"/>
  <c r="AH180" i="1"/>
  <c r="AH202" i="1"/>
  <c r="AH97" i="1"/>
  <c r="AL97" i="1" s="1"/>
  <c r="AH3" i="1"/>
  <c r="F4" i="16"/>
  <c r="F5" i="16"/>
  <c r="F6" i="16"/>
  <c r="F7" i="16"/>
  <c r="F8" i="16"/>
  <c r="F9" i="16"/>
  <c r="F10" i="16"/>
  <c r="F11" i="16"/>
  <c r="F12" i="16"/>
  <c r="F13" i="16"/>
  <c r="F14" i="16"/>
  <c r="F15" i="16"/>
  <c r="F16" i="16"/>
  <c r="F17" i="16"/>
  <c r="F18" i="16"/>
  <c r="F3" i="16"/>
  <c r="E5" i="16"/>
  <c r="E6" i="16"/>
  <c r="E7" i="16"/>
  <c r="E8" i="16"/>
  <c r="E9" i="16"/>
  <c r="E10" i="16"/>
  <c r="E11" i="16"/>
  <c r="E12" i="16"/>
  <c r="E13" i="16"/>
  <c r="E14" i="16"/>
  <c r="E15" i="16"/>
  <c r="E16" i="16"/>
  <c r="E17" i="16"/>
  <c r="E18" i="16"/>
  <c r="E4" i="16"/>
  <c r="D4" i="16"/>
  <c r="D5" i="16"/>
  <c r="D6" i="16"/>
  <c r="D7" i="16"/>
  <c r="D8" i="16"/>
  <c r="D9" i="16"/>
  <c r="D10" i="16"/>
  <c r="D11" i="16"/>
  <c r="D12" i="16"/>
  <c r="D13" i="16"/>
  <c r="D14" i="16"/>
  <c r="D15" i="16"/>
  <c r="D16" i="16"/>
  <c r="D17" i="16"/>
  <c r="D18" i="16"/>
  <c r="D3" i="16"/>
  <c r="V3" i="1"/>
  <c r="W3" i="1" s="1"/>
  <c r="V4" i="1"/>
  <c r="W4" i="1" s="1"/>
  <c r="V6" i="1"/>
  <c r="W6" i="1" s="1"/>
  <c r="V18" i="1"/>
  <c r="W18" i="1" s="1"/>
  <c r="V16" i="1"/>
  <c r="W16" i="1" s="1"/>
  <c r="V22" i="1"/>
  <c r="W22" i="1" s="1"/>
  <c r="V15" i="1"/>
  <c r="W15" i="1" s="1"/>
  <c r="V19" i="1"/>
  <c r="W19" i="1" s="1"/>
  <c r="V7" i="1"/>
  <c r="W7" i="1" s="1"/>
  <c r="V8" i="1"/>
  <c r="W8" i="1" s="1"/>
  <c r="V11" i="1"/>
  <c r="W11" i="1" s="1"/>
  <c r="V10" i="1"/>
  <c r="W10" i="1" s="1"/>
  <c r="V17" i="1"/>
  <c r="W17" i="1" s="1"/>
  <c r="V12" i="1"/>
  <c r="W12" i="1" s="1"/>
  <c r="V42" i="1"/>
  <c r="W42" i="1" s="1"/>
  <c r="V36" i="1"/>
  <c r="W36" i="1" s="1"/>
  <c r="V13" i="1"/>
  <c r="W13" i="1" s="1"/>
  <c r="V84" i="1"/>
  <c r="W84" i="1" s="1"/>
  <c r="V91" i="1"/>
  <c r="W91" i="1" s="1"/>
  <c r="V85" i="1"/>
  <c r="W85" i="1" s="1"/>
  <c r="V87" i="1"/>
  <c r="W87" i="1" s="1"/>
  <c r="V14" i="1"/>
  <c r="W14" i="1" s="1"/>
  <c r="V24" i="1"/>
  <c r="W24" i="1" s="1"/>
  <c r="V9" i="1"/>
  <c r="W9" i="1" s="1"/>
  <c r="V27" i="1"/>
  <c r="W27" i="1" s="1"/>
  <c r="V29" i="1"/>
  <c r="W29" i="1" s="1"/>
  <c r="V23" i="1"/>
  <c r="W23" i="1" s="1"/>
  <c r="V65" i="1"/>
  <c r="W65" i="1" s="1"/>
  <c r="V86" i="1"/>
  <c r="W86" i="1" s="1"/>
  <c r="V49" i="1"/>
  <c r="W49" i="1" s="1"/>
  <c r="V33" i="1"/>
  <c r="W33" i="1" s="1"/>
  <c r="V66" i="1"/>
  <c r="W66" i="1" s="1"/>
  <c r="V34" i="1"/>
  <c r="W34" i="1" s="1"/>
  <c r="V35" i="1"/>
  <c r="W35" i="1" s="1"/>
  <c r="V20" i="1"/>
  <c r="W20" i="1" s="1"/>
  <c r="V25" i="1"/>
  <c r="W25" i="1" s="1"/>
  <c r="V26" i="1"/>
  <c r="W26" i="1" s="1"/>
  <c r="V80" i="1"/>
  <c r="W80" i="1" s="1"/>
  <c r="V31" i="1"/>
  <c r="W31" i="1" s="1"/>
  <c r="V61" i="1"/>
  <c r="W61" i="1" s="1"/>
  <c r="V62" i="1"/>
  <c r="W62" i="1" s="1"/>
  <c r="V56" i="1"/>
  <c r="W56" i="1" s="1"/>
  <c r="V40" i="1"/>
  <c r="W40" i="1" s="1"/>
  <c r="V28" i="1"/>
  <c r="W28" i="1" s="1"/>
  <c r="V45" i="1"/>
  <c r="W45" i="1" s="1"/>
  <c r="V30" i="1"/>
  <c r="W30" i="1" s="1"/>
  <c r="V41" i="1"/>
  <c r="W41" i="1" s="1"/>
  <c r="V109" i="1"/>
  <c r="W109" i="1" s="1"/>
  <c r="V47" i="1"/>
  <c r="W47" i="1" s="1"/>
  <c r="V82" i="1"/>
  <c r="W82" i="1" s="1"/>
  <c r="V37" i="1"/>
  <c r="W37" i="1" s="1"/>
  <c r="V75" i="1"/>
  <c r="W75" i="1" s="1"/>
  <c r="V63" i="1"/>
  <c r="W63" i="1" s="1"/>
  <c r="V50" i="1"/>
  <c r="W50" i="1" s="1"/>
  <c r="V46" i="1"/>
  <c r="W46" i="1" s="1"/>
  <c r="V76" i="1"/>
  <c r="W76" i="1" s="1"/>
  <c r="V68" i="1"/>
  <c r="W68" i="1" s="1"/>
  <c r="V67" i="1"/>
  <c r="W67" i="1" s="1"/>
  <c r="V69" i="1"/>
  <c r="W69" i="1" s="1"/>
  <c r="V44" i="1"/>
  <c r="W44" i="1" s="1"/>
  <c r="V57" i="1"/>
  <c r="W57" i="1" s="1"/>
  <c r="V48" i="1"/>
  <c r="W48" i="1" s="1"/>
  <c r="V83" i="1"/>
  <c r="W83" i="1" s="1"/>
  <c r="V110" i="1"/>
  <c r="W110" i="1" s="1"/>
  <c r="V32" i="1"/>
  <c r="W32" i="1" s="1"/>
  <c r="V38" i="1"/>
  <c r="W38" i="1" s="1"/>
  <c r="V58" i="1"/>
  <c r="W58" i="1" s="1"/>
  <c r="V89" i="1"/>
  <c r="W89" i="1" s="1"/>
  <c r="V90" i="1"/>
  <c r="W90" i="1" s="1"/>
  <c r="V93" i="1"/>
  <c r="W93" i="1" s="1"/>
  <c r="V94" i="1"/>
  <c r="W94" i="1" s="1"/>
  <c r="V95" i="1"/>
  <c r="W95" i="1" s="1"/>
  <c r="V105" i="1"/>
  <c r="W105" i="1" s="1"/>
  <c r="V73" i="1"/>
  <c r="W73" i="1" s="1"/>
  <c r="V98" i="1"/>
  <c r="W98" i="1" s="1"/>
  <c r="V99" i="1"/>
  <c r="W99" i="1" s="1"/>
  <c r="V100" i="1"/>
  <c r="W100" i="1" s="1"/>
  <c r="V107" i="1"/>
  <c r="W107" i="1" s="1"/>
  <c r="V108" i="1"/>
  <c r="W108" i="1" s="1"/>
  <c r="V21" i="1"/>
  <c r="W21" i="1" s="1"/>
  <c r="V112" i="1"/>
  <c r="W112" i="1" s="1"/>
  <c r="V79" i="1"/>
  <c r="W79" i="1" s="1"/>
  <c r="V77" i="1"/>
  <c r="W77" i="1" s="1"/>
  <c r="V113" i="1"/>
  <c r="W113" i="1" s="1"/>
  <c r="V114" i="1"/>
  <c r="W114" i="1" s="1"/>
  <c r="V59" i="1"/>
  <c r="W59" i="1" s="1"/>
  <c r="V115" i="1"/>
  <c r="W115" i="1" s="1"/>
  <c r="V119" i="1"/>
  <c r="W119" i="1" s="1"/>
  <c r="V117" i="1"/>
  <c r="W117" i="1" s="1"/>
  <c r="V120" i="1"/>
  <c r="W120" i="1" s="1"/>
  <c r="V118" i="1"/>
  <c r="W118" i="1" s="1"/>
  <c r="V116" i="1"/>
  <c r="W116" i="1" s="1"/>
  <c r="V102" i="1"/>
  <c r="W102" i="1" s="1"/>
  <c r="V78" i="1"/>
  <c r="W78" i="1" s="1"/>
  <c r="V96" i="1"/>
  <c r="W96" i="1" s="1"/>
  <c r="V43" i="1"/>
  <c r="W43" i="1" s="1"/>
  <c r="V132" i="1"/>
  <c r="W132" i="1" s="1"/>
  <c r="V111" i="1"/>
  <c r="W111" i="1" s="1"/>
  <c r="V39" i="1"/>
  <c r="W39" i="1" s="1"/>
  <c r="V122" i="1"/>
  <c r="W122" i="1" s="1"/>
  <c r="V55" i="1"/>
  <c r="W55" i="1" s="1"/>
  <c r="V125" i="1"/>
  <c r="W125" i="1" s="1"/>
  <c r="V123" i="1"/>
  <c r="W123" i="1" s="1"/>
  <c r="V124" i="1"/>
  <c r="W124" i="1" s="1"/>
  <c r="V101" i="1"/>
  <c r="W101" i="1" s="1"/>
  <c r="V70" i="1"/>
  <c r="W70" i="1" s="1"/>
  <c r="V126" i="1"/>
  <c r="W126" i="1" s="1"/>
  <c r="V127" i="1"/>
  <c r="W127" i="1" s="1"/>
  <c r="V130" i="1"/>
  <c r="W130" i="1" s="1"/>
  <c r="V71" i="1"/>
  <c r="W71" i="1" s="1"/>
  <c r="V131" i="1"/>
  <c r="W131" i="1" s="1"/>
  <c r="V72" i="1"/>
  <c r="W72" i="1" s="1"/>
  <c r="V64" i="1"/>
  <c r="W64" i="1" s="1"/>
  <c r="V104" i="1"/>
  <c r="W104" i="1" s="1"/>
  <c r="V133" i="1"/>
  <c r="W133" i="1" s="1"/>
  <c r="V155" i="1"/>
  <c r="W155" i="1" s="1"/>
  <c r="V88" i="1"/>
  <c r="W88" i="1" s="1"/>
  <c r="V106" i="1"/>
  <c r="W106" i="1" s="1"/>
  <c r="V159" i="1"/>
  <c r="W159" i="1" s="1"/>
  <c r="V170" i="1"/>
  <c r="W170" i="1" s="1"/>
  <c r="V171" i="1"/>
  <c r="W171" i="1" s="1"/>
  <c r="V81" i="1"/>
  <c r="W81" i="1" s="1"/>
  <c r="V74" i="1"/>
  <c r="W74" i="1" s="1"/>
  <c r="V53" i="1"/>
  <c r="W53" i="1" s="1"/>
  <c r="V54" i="1"/>
  <c r="W54" i="1" s="1"/>
  <c r="V199" i="1"/>
  <c r="W199" i="1" s="1"/>
  <c r="V182" i="1"/>
  <c r="W182" i="1" s="1"/>
  <c r="V97" i="1"/>
  <c r="W97" i="1" s="1"/>
  <c r="V103" i="1"/>
  <c r="W103" i="1" s="1"/>
  <c r="V180" i="1"/>
  <c r="Z180" i="1" s="1"/>
  <c r="V202" i="1"/>
  <c r="W202" i="1" s="1"/>
  <c r="V134" i="1"/>
  <c r="W134" i="1" s="1"/>
  <c r="V135" i="1"/>
  <c r="W135" i="1" s="1"/>
  <c r="V136" i="1"/>
  <c r="W136" i="1" s="1"/>
  <c r="V137" i="1"/>
  <c r="W137" i="1" s="1"/>
  <c r="V138" i="1"/>
  <c r="W138" i="1" s="1"/>
  <c r="V139" i="1"/>
  <c r="W139" i="1" s="1"/>
  <c r="V140" i="1"/>
  <c r="W140" i="1" s="1"/>
  <c r="V141" i="1"/>
  <c r="W141" i="1" s="1"/>
  <c r="V142" i="1"/>
  <c r="W142" i="1" s="1"/>
  <c r="V143" i="1"/>
  <c r="W143" i="1" s="1"/>
  <c r="V144" i="1"/>
  <c r="W144" i="1" s="1"/>
  <c r="V145" i="1"/>
  <c r="W145" i="1" s="1"/>
  <c r="V146" i="1"/>
  <c r="W146" i="1" s="1"/>
  <c r="V147" i="1"/>
  <c r="W147" i="1" s="1"/>
  <c r="V148" i="1"/>
  <c r="W148" i="1" s="1"/>
  <c r="V149" i="1"/>
  <c r="W149" i="1" s="1"/>
  <c r="V150" i="1"/>
  <c r="W150" i="1" s="1"/>
  <c r="V151" i="1"/>
  <c r="W151" i="1" s="1"/>
  <c r="V152" i="1"/>
  <c r="W152" i="1" s="1"/>
  <c r="V153" i="1"/>
  <c r="W153" i="1" s="1"/>
  <c r="V154" i="1"/>
  <c r="W154" i="1" s="1"/>
  <c r="V128" i="1"/>
  <c r="W128" i="1" s="1"/>
  <c r="V156" i="1"/>
  <c r="W156" i="1" s="1"/>
  <c r="V157" i="1"/>
  <c r="W157" i="1" s="1"/>
  <c r="V158" i="1"/>
  <c r="W158" i="1" s="1"/>
  <c r="V51" i="1"/>
  <c r="W51" i="1" s="1"/>
  <c r="V160" i="1"/>
  <c r="W160" i="1" s="1"/>
  <c r="V161" i="1"/>
  <c r="W161" i="1" s="1"/>
  <c r="V162" i="1"/>
  <c r="W162" i="1" s="1"/>
  <c r="V163" i="1"/>
  <c r="W163" i="1" s="1"/>
  <c r="V164" i="1"/>
  <c r="W164" i="1" s="1"/>
  <c r="V165" i="1"/>
  <c r="W165" i="1" s="1"/>
  <c r="V166" i="1"/>
  <c r="W166" i="1" s="1"/>
  <c r="V167" i="1"/>
  <c r="W167" i="1" s="1"/>
  <c r="V168" i="1"/>
  <c r="W168" i="1" s="1"/>
  <c r="V169" i="1"/>
  <c r="W169" i="1" s="1"/>
  <c r="V129" i="1"/>
  <c r="W129" i="1" s="1"/>
  <c r="V92" i="1"/>
  <c r="W92" i="1" s="1"/>
  <c r="V172" i="1"/>
  <c r="W172" i="1" s="1"/>
  <c r="V173" i="1"/>
  <c r="W173" i="1" s="1"/>
  <c r="V174" i="1"/>
  <c r="W174" i="1" s="1"/>
  <c r="V175" i="1"/>
  <c r="W175" i="1" s="1"/>
  <c r="V176" i="1"/>
  <c r="W176" i="1" s="1"/>
  <c r="V177" i="1"/>
  <c r="W177" i="1" s="1"/>
  <c r="V178" i="1"/>
  <c r="W178" i="1" s="1"/>
  <c r="V179" i="1"/>
  <c r="W179" i="1" s="1"/>
  <c r="V121" i="1"/>
  <c r="W121" i="1" s="1"/>
  <c r="V181" i="1"/>
  <c r="W181" i="1" s="1"/>
  <c r="V60" i="1"/>
  <c r="W60" i="1" s="1"/>
  <c r="V183" i="1"/>
  <c r="W183" i="1" s="1"/>
  <c r="V184" i="1"/>
  <c r="W184" i="1" s="1"/>
  <c r="V185" i="1"/>
  <c r="W185" i="1" s="1"/>
  <c r="V186" i="1"/>
  <c r="W186" i="1" s="1"/>
  <c r="V187" i="1"/>
  <c r="W187" i="1" s="1"/>
  <c r="V188" i="1"/>
  <c r="W188" i="1" s="1"/>
  <c r="V189" i="1"/>
  <c r="W189" i="1" s="1"/>
  <c r="V190" i="1"/>
  <c r="W190" i="1" s="1"/>
  <c r="V191" i="1"/>
  <c r="W191" i="1" s="1"/>
  <c r="V192" i="1"/>
  <c r="W192" i="1" s="1"/>
  <c r="V193" i="1"/>
  <c r="W193" i="1" s="1"/>
  <c r="V194" i="1"/>
  <c r="W194" i="1" s="1"/>
  <c r="V195" i="1"/>
  <c r="W195" i="1" s="1"/>
  <c r="V196" i="1"/>
  <c r="W196" i="1" s="1"/>
  <c r="V197" i="1"/>
  <c r="W197" i="1" s="1"/>
  <c r="V198" i="1"/>
  <c r="W198" i="1" s="1"/>
  <c r="V5" i="1"/>
  <c r="W5" i="1" s="1"/>
  <c r="V200" i="1"/>
  <c r="W200" i="1" s="1"/>
  <c r="V201" i="1"/>
  <c r="W201" i="1" s="1"/>
  <c r="V52" i="1"/>
  <c r="W52" i="1" s="1"/>
  <c r="V203" i="1"/>
  <c r="W203" i="1" s="1"/>
  <c r="V204" i="1"/>
  <c r="W204" i="1" s="1"/>
  <c r="V205" i="1"/>
  <c r="W205" i="1" s="1"/>
  <c r="V206" i="1"/>
  <c r="W206" i="1" s="1"/>
  <c r="V207" i="1"/>
  <c r="W207" i="1" s="1"/>
  <c r="V208" i="1"/>
  <c r="W208" i="1" s="1"/>
  <c r="V209" i="1"/>
  <c r="W209" i="1" s="1"/>
  <c r="V210" i="1"/>
  <c r="W210" i="1" s="1"/>
  <c r="V211" i="1"/>
  <c r="W211" i="1" s="1"/>
  <c r="V212" i="1"/>
  <c r="W212" i="1" s="1"/>
  <c r="V213" i="1"/>
  <c r="W213" i="1" s="1"/>
  <c r="V214" i="1"/>
  <c r="W214" i="1" s="1"/>
  <c r="V215" i="1"/>
  <c r="W215" i="1" s="1"/>
  <c r="V216" i="1"/>
  <c r="W216" i="1" s="1"/>
  <c r="V217" i="1"/>
  <c r="W217" i="1" s="1"/>
  <c r="V218" i="1"/>
  <c r="W218" i="1" s="1"/>
  <c r="V219" i="1"/>
  <c r="W219" i="1" s="1"/>
  <c r="V220" i="1"/>
  <c r="W220" i="1" s="1"/>
  <c r="V221" i="1"/>
  <c r="W221" i="1" s="1"/>
  <c r="V222" i="1"/>
  <c r="W222" i="1" s="1"/>
  <c r="V223" i="1"/>
  <c r="W223" i="1" s="1"/>
  <c r="V224" i="1"/>
  <c r="W224" i="1" s="1"/>
  <c r="V225" i="1"/>
  <c r="W225" i="1" s="1"/>
  <c r="V226" i="1"/>
  <c r="W226" i="1" s="1"/>
  <c r="V227" i="1"/>
  <c r="W227" i="1" s="1"/>
  <c r="V228" i="1"/>
  <c r="W228" i="1" s="1"/>
  <c r="V229" i="1"/>
  <c r="W229" i="1" s="1"/>
  <c r="V230" i="1"/>
  <c r="W230" i="1" s="1"/>
  <c r="V231" i="1"/>
  <c r="W231" i="1" s="1"/>
  <c r="V232" i="1"/>
  <c r="W232" i="1" s="1"/>
  <c r="C233" i="1"/>
  <c r="AB3" i="1"/>
  <c r="AB4" i="1"/>
  <c r="AB6" i="1"/>
  <c r="AB18" i="1"/>
  <c r="AB16" i="1"/>
  <c r="AC16" i="1" s="1"/>
  <c r="AB22" i="1"/>
  <c r="AB15" i="1"/>
  <c r="AB19" i="1"/>
  <c r="AB7" i="1"/>
  <c r="AC7" i="1" s="1"/>
  <c r="AB8" i="1"/>
  <c r="AC8" i="1" s="1"/>
  <c r="AB11" i="1"/>
  <c r="AB17" i="1"/>
  <c r="AC17" i="1" s="1"/>
  <c r="AB10" i="1"/>
  <c r="AB12" i="1"/>
  <c r="AB42" i="1"/>
  <c r="AB36" i="1"/>
  <c r="AC36" i="1" s="1"/>
  <c r="AB13" i="1"/>
  <c r="AB84" i="1"/>
  <c r="AB85" i="1"/>
  <c r="AB87" i="1"/>
  <c r="AC87" i="1" s="1"/>
  <c r="AB91" i="1"/>
  <c r="AB14" i="1"/>
  <c r="AC14" i="1" s="1"/>
  <c r="AB24" i="1"/>
  <c r="AB9" i="1"/>
  <c r="AB27" i="1"/>
  <c r="AB29" i="1"/>
  <c r="AB23" i="1"/>
  <c r="AB65" i="1"/>
  <c r="AC65" i="1" s="1"/>
  <c r="AB49" i="1"/>
  <c r="AB86" i="1"/>
  <c r="AC86" i="1" s="1"/>
  <c r="AB33" i="1"/>
  <c r="AB66" i="1"/>
  <c r="AC66" i="1" s="1"/>
  <c r="AB34" i="1"/>
  <c r="AB35" i="1"/>
  <c r="AB26" i="1"/>
  <c r="AB25" i="1"/>
  <c r="AC25" i="1" s="1"/>
  <c r="AB20" i="1"/>
  <c r="AC20" i="1" s="1"/>
  <c r="AB80" i="1"/>
  <c r="AB61" i="1"/>
  <c r="AB62" i="1"/>
  <c r="AB31" i="1"/>
  <c r="AC31" i="1" s="1"/>
  <c r="AB56" i="1"/>
  <c r="AC56" i="1" s="1"/>
  <c r="AB28" i="1"/>
  <c r="AB40" i="1"/>
  <c r="AB45" i="1"/>
  <c r="AC45" i="1" s="1"/>
  <c r="AB30" i="1"/>
  <c r="AB41" i="1"/>
  <c r="AB109" i="1"/>
  <c r="AC109" i="1" s="1"/>
  <c r="AB47" i="1"/>
  <c r="AC47" i="1" s="1"/>
  <c r="AB37" i="1"/>
  <c r="AC37" i="1" s="1"/>
  <c r="AB82" i="1"/>
  <c r="AB50" i="1"/>
  <c r="AB63" i="1"/>
  <c r="AB75" i="1"/>
  <c r="AB46" i="1"/>
  <c r="AB76" i="1"/>
  <c r="AB68" i="1"/>
  <c r="AB67" i="1"/>
  <c r="AB69" i="1"/>
  <c r="AB57" i="1"/>
  <c r="AC57" i="1" s="1"/>
  <c r="AB48" i="1"/>
  <c r="AC48" i="1" s="1"/>
  <c r="AB83" i="1"/>
  <c r="AC83" i="1" s="1"/>
  <c r="AB44" i="1"/>
  <c r="AB110" i="1"/>
  <c r="AC110" i="1" s="1"/>
  <c r="AB32" i="1"/>
  <c r="AB38" i="1"/>
  <c r="AC38" i="1" s="1"/>
  <c r="AB58" i="1"/>
  <c r="AB77" i="1"/>
  <c r="AC77" i="1" s="1"/>
  <c r="AB105" i="1"/>
  <c r="AC105" i="1" s="1"/>
  <c r="AB93" i="1"/>
  <c r="AB94" i="1"/>
  <c r="AB89" i="1"/>
  <c r="AB95" i="1"/>
  <c r="AC95" i="1" s="1"/>
  <c r="AB90" i="1"/>
  <c r="AC90" i="1" s="1"/>
  <c r="AB73" i="1"/>
  <c r="AB98" i="1"/>
  <c r="AB99" i="1"/>
  <c r="AC99" i="1" s="1"/>
  <c r="AB100" i="1"/>
  <c r="AC100" i="1" s="1"/>
  <c r="AB21" i="1"/>
  <c r="AB107" i="1"/>
  <c r="AB108" i="1"/>
  <c r="AB59" i="1"/>
  <c r="AB113" i="1"/>
  <c r="AB114" i="1"/>
  <c r="AC114" i="1" s="1"/>
  <c r="AB79" i="1"/>
  <c r="AB112" i="1"/>
  <c r="AB115" i="1"/>
  <c r="AB78" i="1"/>
  <c r="AC78" i="1" s="1"/>
  <c r="AB119" i="1"/>
  <c r="AB117" i="1"/>
  <c r="AB120" i="1"/>
  <c r="AB118" i="1"/>
  <c r="AC118" i="1" s="1"/>
  <c r="AB116" i="1"/>
  <c r="AB102" i="1"/>
  <c r="AB96" i="1"/>
  <c r="AB43" i="1"/>
  <c r="AC43" i="1" s="1"/>
  <c r="AB132" i="1"/>
  <c r="AC132" i="1" s="1"/>
  <c r="AB111" i="1"/>
  <c r="AC111" i="1" s="1"/>
  <c r="AB39" i="1"/>
  <c r="AB122" i="1"/>
  <c r="AB55" i="1"/>
  <c r="AB125" i="1"/>
  <c r="AC125" i="1" s="1"/>
  <c r="AB123" i="1"/>
  <c r="AB124" i="1"/>
  <c r="AB101" i="1"/>
  <c r="AB126" i="1"/>
  <c r="AB127" i="1"/>
  <c r="AB70" i="1"/>
  <c r="AB130" i="1"/>
  <c r="AC130" i="1" s="1"/>
  <c r="AB71" i="1"/>
  <c r="AB131" i="1"/>
  <c r="AB64" i="1"/>
  <c r="AB72" i="1"/>
  <c r="AC72" i="1" s="1"/>
  <c r="AB104" i="1"/>
  <c r="AB155" i="1"/>
  <c r="AB106" i="1"/>
  <c r="AC106" i="1" s="1"/>
  <c r="AB133" i="1"/>
  <c r="AB88" i="1"/>
  <c r="AB159" i="1"/>
  <c r="AB170" i="1"/>
  <c r="AB171" i="1"/>
  <c r="AB81" i="1"/>
  <c r="AB74" i="1"/>
  <c r="AB53" i="1"/>
  <c r="AC53" i="1" s="1"/>
  <c r="AB54" i="1"/>
  <c r="AB199" i="1"/>
  <c r="AB182" i="1"/>
  <c r="AB103" i="1"/>
  <c r="AB180" i="1"/>
  <c r="AB202" i="1"/>
  <c r="AB97" i="1"/>
  <c r="AB134" i="1"/>
  <c r="AC134" i="1" s="1"/>
  <c r="AB135" i="1"/>
  <c r="AB136" i="1"/>
  <c r="AB137" i="1"/>
  <c r="AB138" i="1"/>
  <c r="AC138" i="1" s="1"/>
  <c r="AB139" i="1"/>
  <c r="AB140" i="1"/>
  <c r="AB141" i="1"/>
  <c r="AB142" i="1"/>
  <c r="AC142" i="1" s="1"/>
  <c r="AB143" i="1"/>
  <c r="AB144" i="1"/>
  <c r="AB145" i="1"/>
  <c r="AB146" i="1"/>
  <c r="AB147" i="1"/>
  <c r="AB148" i="1"/>
  <c r="AB149" i="1"/>
  <c r="AB150" i="1"/>
  <c r="AB151" i="1"/>
  <c r="AB152" i="1"/>
  <c r="AB153" i="1"/>
  <c r="AB154" i="1"/>
  <c r="AB128" i="1"/>
  <c r="AB156" i="1"/>
  <c r="AB157" i="1"/>
  <c r="AB158" i="1"/>
  <c r="AB51" i="1"/>
  <c r="AB160" i="1"/>
  <c r="AB161" i="1"/>
  <c r="AB162" i="1"/>
  <c r="AB163" i="1"/>
  <c r="AB164" i="1"/>
  <c r="AB165" i="1"/>
  <c r="AB166" i="1"/>
  <c r="AB167" i="1"/>
  <c r="AB168" i="1"/>
  <c r="AB169" i="1"/>
  <c r="AB129" i="1"/>
  <c r="AB92" i="1"/>
  <c r="AB172" i="1"/>
  <c r="AB173" i="1"/>
  <c r="AB174" i="1"/>
  <c r="AB175" i="1"/>
  <c r="AB176" i="1"/>
  <c r="AB177" i="1"/>
  <c r="AB178" i="1"/>
  <c r="AB179" i="1"/>
  <c r="AB121" i="1"/>
  <c r="AB181" i="1"/>
  <c r="AB60" i="1"/>
  <c r="AB183" i="1"/>
  <c r="AB184" i="1"/>
  <c r="AB185" i="1"/>
  <c r="AB186" i="1"/>
  <c r="AB187" i="1"/>
  <c r="AB188" i="1"/>
  <c r="AB189" i="1"/>
  <c r="AB190" i="1"/>
  <c r="AB191" i="1"/>
  <c r="AB192" i="1"/>
  <c r="AB193" i="1"/>
  <c r="AB194" i="1"/>
  <c r="AB195" i="1"/>
  <c r="AB196" i="1"/>
  <c r="AB197" i="1"/>
  <c r="AB198" i="1"/>
  <c r="AB5" i="1"/>
  <c r="AB200" i="1"/>
  <c r="AB201" i="1"/>
  <c r="AB5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P3" i="1"/>
  <c r="Q3" i="1" s="1"/>
  <c r="P4" i="1"/>
  <c r="P6" i="1"/>
  <c r="Q6" i="1" s="1"/>
  <c r="P18" i="1"/>
  <c r="Q18" i="1" s="1"/>
  <c r="P16" i="1"/>
  <c r="Q16" i="1" s="1"/>
  <c r="P22" i="1"/>
  <c r="P15" i="1"/>
  <c r="Q15" i="1" s="1"/>
  <c r="P19" i="1"/>
  <c r="Q19" i="1" s="1"/>
  <c r="P7" i="1"/>
  <c r="Q7" i="1" s="1"/>
  <c r="P8" i="1"/>
  <c r="P11" i="1"/>
  <c r="Q11" i="1" s="1"/>
  <c r="P17" i="1"/>
  <c r="Q17" i="1" s="1"/>
  <c r="P10" i="1"/>
  <c r="Q10" i="1" s="1"/>
  <c r="P12" i="1"/>
  <c r="P42" i="1"/>
  <c r="Q42" i="1" s="1"/>
  <c r="P36" i="1"/>
  <c r="Q36" i="1" s="1"/>
  <c r="P13" i="1"/>
  <c r="Q13" i="1" s="1"/>
  <c r="P84" i="1"/>
  <c r="R84" i="1" s="1"/>
  <c r="P85" i="1"/>
  <c r="Q85" i="1" s="1"/>
  <c r="P87" i="1"/>
  <c r="Q87" i="1" s="1"/>
  <c r="P91" i="1"/>
  <c r="Q91" i="1" s="1"/>
  <c r="P14" i="1"/>
  <c r="P24" i="1"/>
  <c r="Q24" i="1" s="1"/>
  <c r="P9" i="1"/>
  <c r="Q9" i="1" s="1"/>
  <c r="P27" i="1"/>
  <c r="Q27" i="1" s="1"/>
  <c r="P29" i="1"/>
  <c r="R29" i="1" s="1"/>
  <c r="P23" i="1"/>
  <c r="Q23" i="1" s="1"/>
  <c r="P65" i="1"/>
  <c r="Q65" i="1" s="1"/>
  <c r="P49" i="1"/>
  <c r="Q49" i="1" s="1"/>
  <c r="P86" i="1"/>
  <c r="R86" i="1" s="1"/>
  <c r="P33" i="1"/>
  <c r="Q33" i="1" s="1"/>
  <c r="P66" i="1"/>
  <c r="Q66" i="1" s="1"/>
  <c r="P34" i="1"/>
  <c r="Q34" i="1" s="1"/>
  <c r="P35" i="1"/>
  <c r="R35" i="1" s="1"/>
  <c r="P26" i="1"/>
  <c r="Q26" i="1" s="1"/>
  <c r="P25" i="1"/>
  <c r="Q25" i="1" s="1"/>
  <c r="P20" i="1"/>
  <c r="Q20" i="1" s="1"/>
  <c r="P80" i="1"/>
  <c r="R80" i="1" s="1"/>
  <c r="P61" i="1"/>
  <c r="Q61" i="1" s="1"/>
  <c r="P62" i="1"/>
  <c r="Q62" i="1" s="1"/>
  <c r="P31" i="1"/>
  <c r="Q31" i="1" s="1"/>
  <c r="P56" i="1"/>
  <c r="R56" i="1" s="1"/>
  <c r="P28" i="1"/>
  <c r="Q28" i="1" s="1"/>
  <c r="P40" i="1"/>
  <c r="Q40" i="1" s="1"/>
  <c r="P45" i="1"/>
  <c r="Q45" i="1" s="1"/>
  <c r="P30" i="1"/>
  <c r="R30" i="1" s="1"/>
  <c r="P41" i="1"/>
  <c r="Q41" i="1" s="1"/>
  <c r="P109" i="1"/>
  <c r="Q109" i="1" s="1"/>
  <c r="P47" i="1"/>
  <c r="Q47" i="1" s="1"/>
  <c r="P37" i="1"/>
  <c r="P82" i="1"/>
  <c r="Q82" i="1" s="1"/>
  <c r="P50" i="1"/>
  <c r="Q50" i="1" s="1"/>
  <c r="P63" i="1"/>
  <c r="Q63" i="1" s="1"/>
  <c r="P75" i="1"/>
  <c r="P46" i="1"/>
  <c r="Q46" i="1" s="1"/>
  <c r="P76" i="1"/>
  <c r="Q76" i="1" s="1"/>
  <c r="P68" i="1"/>
  <c r="Q68" i="1" s="1"/>
  <c r="P67" i="1"/>
  <c r="R67" i="1" s="1"/>
  <c r="P69" i="1"/>
  <c r="Q69" i="1" s="1"/>
  <c r="P57" i="1"/>
  <c r="Q57" i="1" s="1"/>
  <c r="P48" i="1"/>
  <c r="Q48" i="1" s="1"/>
  <c r="P83" i="1"/>
  <c r="R83" i="1" s="1"/>
  <c r="P44" i="1"/>
  <c r="Q44" i="1" s="1"/>
  <c r="P110" i="1"/>
  <c r="Q110" i="1" s="1"/>
  <c r="P32" i="1"/>
  <c r="Q32" i="1" s="1"/>
  <c r="P38" i="1"/>
  <c r="R38" i="1" s="1"/>
  <c r="P58" i="1"/>
  <c r="Q58" i="1" s="1"/>
  <c r="P77" i="1"/>
  <c r="Q77" i="1" s="1"/>
  <c r="P105" i="1"/>
  <c r="Q105" i="1" s="1"/>
  <c r="P93" i="1"/>
  <c r="R93" i="1" s="1"/>
  <c r="P94" i="1"/>
  <c r="Q94" i="1" s="1"/>
  <c r="P89" i="1"/>
  <c r="Q89" i="1" s="1"/>
  <c r="P95" i="1"/>
  <c r="Q95" i="1" s="1"/>
  <c r="P90" i="1"/>
  <c r="P73" i="1"/>
  <c r="Q73" i="1" s="1"/>
  <c r="P98" i="1"/>
  <c r="Q98" i="1" s="1"/>
  <c r="P99" i="1"/>
  <c r="Q99" i="1" s="1"/>
  <c r="P100" i="1"/>
  <c r="R100" i="1" s="1"/>
  <c r="P21" i="1"/>
  <c r="Q21" i="1" s="1"/>
  <c r="P107" i="1"/>
  <c r="Q107" i="1" s="1"/>
  <c r="P108" i="1"/>
  <c r="Q108" i="1" s="1"/>
  <c r="P59" i="1"/>
  <c r="P113" i="1"/>
  <c r="Q113" i="1" s="1"/>
  <c r="P114" i="1"/>
  <c r="Q114" i="1" s="1"/>
  <c r="P79" i="1"/>
  <c r="Q79" i="1" s="1"/>
  <c r="P112" i="1"/>
  <c r="R112" i="1" s="1"/>
  <c r="P115" i="1"/>
  <c r="Q115" i="1" s="1"/>
  <c r="P78" i="1"/>
  <c r="Q78" i="1" s="1"/>
  <c r="P119" i="1"/>
  <c r="Q119" i="1" s="1"/>
  <c r="P117" i="1"/>
  <c r="R117" i="1" s="1"/>
  <c r="P120" i="1"/>
  <c r="P118" i="1"/>
  <c r="Q118" i="1" s="1"/>
  <c r="P116" i="1"/>
  <c r="Q116" i="1" s="1"/>
  <c r="P102" i="1"/>
  <c r="R102" i="1" s="1"/>
  <c r="P96" i="1"/>
  <c r="S96" i="1" s="1"/>
  <c r="P43" i="1"/>
  <c r="Q43" i="1" s="1"/>
  <c r="P132" i="1"/>
  <c r="Q132" i="1" s="1"/>
  <c r="P111" i="1"/>
  <c r="R111" i="1" s="1"/>
  <c r="P39" i="1"/>
  <c r="P122" i="1"/>
  <c r="Q122" i="1" s="1"/>
  <c r="P55" i="1"/>
  <c r="Q55" i="1" s="1"/>
  <c r="P125" i="1"/>
  <c r="R125" i="1" s="1"/>
  <c r="P123" i="1"/>
  <c r="S123" i="1" s="1"/>
  <c r="P124" i="1"/>
  <c r="Q124" i="1" s="1"/>
  <c r="P101" i="1"/>
  <c r="Q101" i="1" s="1"/>
  <c r="P126" i="1"/>
  <c r="R126" i="1" s="1"/>
  <c r="P127" i="1"/>
  <c r="P70" i="1"/>
  <c r="Q70" i="1" s="1"/>
  <c r="P130" i="1"/>
  <c r="Q130" i="1" s="1"/>
  <c r="P71" i="1"/>
  <c r="R71" i="1" s="1"/>
  <c r="P131" i="1"/>
  <c r="S131" i="1" s="1"/>
  <c r="P64" i="1"/>
  <c r="Q64" i="1" s="1"/>
  <c r="P72" i="1"/>
  <c r="Q72" i="1" s="1"/>
  <c r="P104" i="1"/>
  <c r="R104" i="1" s="1"/>
  <c r="P155" i="1"/>
  <c r="P106" i="1"/>
  <c r="Q106" i="1" s="1"/>
  <c r="P133" i="1"/>
  <c r="Q133" i="1" s="1"/>
  <c r="P88" i="1"/>
  <c r="R88" i="1" s="1"/>
  <c r="P159" i="1"/>
  <c r="S159" i="1" s="1"/>
  <c r="P170" i="1"/>
  <c r="Q170" i="1" s="1"/>
  <c r="P171" i="1"/>
  <c r="Q171" i="1" s="1"/>
  <c r="P81" i="1"/>
  <c r="R81" i="1" s="1"/>
  <c r="P74" i="1"/>
  <c r="S74" i="1" s="1"/>
  <c r="P53" i="1"/>
  <c r="Q53" i="1" s="1"/>
  <c r="P54" i="1"/>
  <c r="Q54" i="1" s="1"/>
  <c r="P199" i="1"/>
  <c r="R199" i="1" s="1"/>
  <c r="P182" i="1"/>
  <c r="S182" i="1" s="1"/>
  <c r="P103" i="1"/>
  <c r="Q103" i="1" s="1"/>
  <c r="P180" i="1"/>
  <c r="Q180" i="1" s="1"/>
  <c r="P202" i="1"/>
  <c r="P97" i="1"/>
  <c r="S97" i="1" s="1"/>
  <c r="P134" i="1"/>
  <c r="Q134" i="1" s="1"/>
  <c r="P135" i="1"/>
  <c r="Q135" i="1" s="1"/>
  <c r="P136" i="1"/>
  <c r="R136" i="1" s="1"/>
  <c r="P137" i="1"/>
  <c r="P138" i="1"/>
  <c r="Q138" i="1" s="1"/>
  <c r="P139" i="1"/>
  <c r="Q139" i="1" s="1"/>
  <c r="P140" i="1"/>
  <c r="R140" i="1" s="1"/>
  <c r="P141" i="1"/>
  <c r="P142" i="1"/>
  <c r="Q142" i="1" s="1"/>
  <c r="P143" i="1"/>
  <c r="Q143" i="1" s="1"/>
  <c r="P144" i="1"/>
  <c r="R144" i="1" s="1"/>
  <c r="P145" i="1"/>
  <c r="P146" i="1"/>
  <c r="Q146" i="1" s="1"/>
  <c r="P147" i="1"/>
  <c r="Q147" i="1" s="1"/>
  <c r="P148" i="1"/>
  <c r="R148" i="1" s="1"/>
  <c r="P149" i="1"/>
  <c r="P150" i="1"/>
  <c r="Q150" i="1" s="1"/>
  <c r="P151" i="1"/>
  <c r="Q151" i="1" s="1"/>
  <c r="P152" i="1"/>
  <c r="R152" i="1" s="1"/>
  <c r="P153" i="1"/>
  <c r="P154" i="1"/>
  <c r="Q154" i="1" s="1"/>
  <c r="P128" i="1"/>
  <c r="Q128" i="1" s="1"/>
  <c r="P156" i="1"/>
  <c r="R156" i="1" s="1"/>
  <c r="P157" i="1"/>
  <c r="P158" i="1"/>
  <c r="Q158" i="1" s="1"/>
  <c r="P51" i="1"/>
  <c r="Q51" i="1" s="1"/>
  <c r="P160" i="1"/>
  <c r="R160" i="1" s="1"/>
  <c r="P161" i="1"/>
  <c r="P162" i="1"/>
  <c r="Q162" i="1" s="1"/>
  <c r="P163" i="1"/>
  <c r="Q163" i="1" s="1"/>
  <c r="P164" i="1"/>
  <c r="R164" i="1" s="1"/>
  <c r="P165" i="1"/>
  <c r="P166" i="1"/>
  <c r="Q166" i="1" s="1"/>
  <c r="P167" i="1"/>
  <c r="Q167" i="1" s="1"/>
  <c r="P168" i="1"/>
  <c r="R168" i="1" s="1"/>
  <c r="P169" i="1"/>
  <c r="P129" i="1"/>
  <c r="Q129" i="1" s="1"/>
  <c r="P92" i="1"/>
  <c r="Q92" i="1" s="1"/>
  <c r="P172" i="1"/>
  <c r="R172" i="1" s="1"/>
  <c r="P173" i="1"/>
  <c r="P174" i="1"/>
  <c r="Q174" i="1" s="1"/>
  <c r="P175" i="1"/>
  <c r="Q175" i="1" s="1"/>
  <c r="P176" i="1"/>
  <c r="R176" i="1" s="1"/>
  <c r="P177" i="1"/>
  <c r="P178" i="1"/>
  <c r="Q178" i="1" s="1"/>
  <c r="P179" i="1"/>
  <c r="Q179" i="1" s="1"/>
  <c r="P121" i="1"/>
  <c r="R121" i="1" s="1"/>
  <c r="P181" i="1"/>
  <c r="P60" i="1"/>
  <c r="Q60" i="1" s="1"/>
  <c r="P183" i="1"/>
  <c r="Q183" i="1" s="1"/>
  <c r="P184" i="1"/>
  <c r="R184" i="1" s="1"/>
  <c r="P185" i="1"/>
  <c r="P186" i="1"/>
  <c r="Q186" i="1" s="1"/>
  <c r="P187" i="1"/>
  <c r="Q187" i="1" s="1"/>
  <c r="P188" i="1"/>
  <c r="R188" i="1" s="1"/>
  <c r="P189" i="1"/>
  <c r="P190" i="1"/>
  <c r="Q190" i="1" s="1"/>
  <c r="P191" i="1"/>
  <c r="Q191" i="1" s="1"/>
  <c r="P192" i="1"/>
  <c r="R192" i="1" s="1"/>
  <c r="P193" i="1"/>
  <c r="P194" i="1"/>
  <c r="Q194" i="1" s="1"/>
  <c r="P195" i="1"/>
  <c r="Q195" i="1" s="1"/>
  <c r="P196" i="1"/>
  <c r="R196" i="1" s="1"/>
  <c r="P197" i="1"/>
  <c r="P198" i="1"/>
  <c r="Q198" i="1" s="1"/>
  <c r="P5" i="1"/>
  <c r="Q5" i="1" s="1"/>
  <c r="P200" i="1"/>
  <c r="R200" i="1" s="1"/>
  <c r="P201" i="1"/>
  <c r="P52" i="1"/>
  <c r="Q52" i="1" s="1"/>
  <c r="P203" i="1"/>
  <c r="Q203" i="1" s="1"/>
  <c r="P204" i="1"/>
  <c r="R204" i="1" s="1"/>
  <c r="P205" i="1"/>
  <c r="P206" i="1"/>
  <c r="Q206" i="1" s="1"/>
  <c r="P207" i="1"/>
  <c r="Q207" i="1" s="1"/>
  <c r="P208" i="1"/>
  <c r="R208" i="1" s="1"/>
  <c r="P209" i="1"/>
  <c r="P210" i="1"/>
  <c r="Q210" i="1" s="1"/>
  <c r="P211" i="1"/>
  <c r="Q211" i="1" s="1"/>
  <c r="P212" i="1"/>
  <c r="R212" i="1" s="1"/>
  <c r="P213" i="1"/>
  <c r="P214" i="1"/>
  <c r="Q214" i="1" s="1"/>
  <c r="P215" i="1"/>
  <c r="Q215" i="1" s="1"/>
  <c r="P216" i="1"/>
  <c r="R216" i="1" s="1"/>
  <c r="P217" i="1"/>
  <c r="P218" i="1"/>
  <c r="Q218" i="1" s="1"/>
  <c r="P219" i="1"/>
  <c r="Q219" i="1" s="1"/>
  <c r="P220" i="1"/>
  <c r="R220" i="1" s="1"/>
  <c r="P221" i="1"/>
  <c r="P222" i="1"/>
  <c r="Q222" i="1" s="1"/>
  <c r="P223" i="1"/>
  <c r="Q223" i="1" s="1"/>
  <c r="P224" i="1"/>
  <c r="R224" i="1" s="1"/>
  <c r="P225" i="1"/>
  <c r="P226" i="1"/>
  <c r="Q226" i="1" s="1"/>
  <c r="P227" i="1"/>
  <c r="Q227" i="1" s="1"/>
  <c r="P228" i="1"/>
  <c r="R228" i="1" s="1"/>
  <c r="P229" i="1"/>
  <c r="P230" i="1"/>
  <c r="Q230" i="1" s="1"/>
  <c r="P231" i="1"/>
  <c r="Q231" i="1" s="1"/>
  <c r="P232" i="1"/>
  <c r="R232" i="1" s="1"/>
  <c r="J3" i="1"/>
  <c r="K3" i="1" s="1"/>
  <c r="J4" i="1"/>
  <c r="K4" i="1" s="1"/>
  <c r="J6" i="1"/>
  <c r="J18" i="1"/>
  <c r="M18" i="1" s="1"/>
  <c r="J16" i="1"/>
  <c r="K16" i="1" s="1"/>
  <c r="J22" i="1"/>
  <c r="K22" i="1" s="1"/>
  <c r="J15" i="1"/>
  <c r="J19" i="1"/>
  <c r="L19" i="1" s="1"/>
  <c r="J7" i="1"/>
  <c r="K7" i="1" s="1"/>
  <c r="J8" i="1"/>
  <c r="K8" i="1" s="1"/>
  <c r="J11" i="1"/>
  <c r="J17" i="1"/>
  <c r="M17" i="1" s="1"/>
  <c r="J10" i="1"/>
  <c r="K10" i="1" s="1"/>
  <c r="J12" i="1"/>
  <c r="K12" i="1" s="1"/>
  <c r="J42" i="1"/>
  <c r="J36" i="1"/>
  <c r="L36" i="1" s="1"/>
  <c r="J13" i="1"/>
  <c r="K13" i="1" s="1"/>
  <c r="J84" i="1"/>
  <c r="K84" i="1" s="1"/>
  <c r="J85" i="1"/>
  <c r="L85" i="1" s="1"/>
  <c r="J87" i="1"/>
  <c r="M87" i="1" s="1"/>
  <c r="J91" i="1"/>
  <c r="K91" i="1" s="1"/>
  <c r="J14" i="1"/>
  <c r="K14" i="1" s="1"/>
  <c r="J24" i="1"/>
  <c r="J9" i="1"/>
  <c r="L9" i="1" s="1"/>
  <c r="J27" i="1"/>
  <c r="K27" i="1" s="1"/>
  <c r="J29" i="1"/>
  <c r="K29" i="1" s="1"/>
  <c r="J23" i="1"/>
  <c r="J65" i="1"/>
  <c r="M65" i="1" s="1"/>
  <c r="J49" i="1"/>
  <c r="K49" i="1" s="1"/>
  <c r="J86" i="1"/>
  <c r="K86" i="1" s="1"/>
  <c r="J33" i="1"/>
  <c r="J66" i="1"/>
  <c r="L66" i="1" s="1"/>
  <c r="J34" i="1"/>
  <c r="K34" i="1" s="1"/>
  <c r="J35" i="1"/>
  <c r="K35" i="1" s="1"/>
  <c r="J26" i="1"/>
  <c r="L26" i="1" s="1"/>
  <c r="J25" i="1"/>
  <c r="M25" i="1" s="1"/>
  <c r="J20" i="1"/>
  <c r="K20" i="1" s="1"/>
  <c r="J80" i="1"/>
  <c r="K80" i="1" s="1"/>
  <c r="J61" i="1"/>
  <c r="L61" i="1" s="1"/>
  <c r="J62" i="1"/>
  <c r="L62" i="1" s="1"/>
  <c r="J31" i="1"/>
  <c r="K31" i="1" s="1"/>
  <c r="J56" i="1"/>
  <c r="K56" i="1" s="1"/>
  <c r="J28" i="1"/>
  <c r="L28" i="1" s="1"/>
  <c r="J40" i="1"/>
  <c r="J45" i="1"/>
  <c r="K45" i="1" s="1"/>
  <c r="J30" i="1"/>
  <c r="K30" i="1" s="1"/>
  <c r="J41" i="1"/>
  <c r="J109" i="1"/>
  <c r="L109" i="1" s="1"/>
  <c r="J47" i="1"/>
  <c r="K47" i="1" s="1"/>
  <c r="J37" i="1"/>
  <c r="K37" i="1" s="1"/>
  <c r="J82" i="1"/>
  <c r="L82" i="1" s="1"/>
  <c r="J50" i="1"/>
  <c r="M50" i="1" s="1"/>
  <c r="J63" i="1"/>
  <c r="K63" i="1" s="1"/>
  <c r="J75" i="1"/>
  <c r="K75" i="1" s="1"/>
  <c r="J46" i="1"/>
  <c r="J76" i="1"/>
  <c r="L76" i="1" s="1"/>
  <c r="J68" i="1"/>
  <c r="K68" i="1" s="1"/>
  <c r="J67" i="1"/>
  <c r="K67" i="1" s="1"/>
  <c r="J69" i="1"/>
  <c r="J57" i="1"/>
  <c r="L57" i="1" s="1"/>
  <c r="J48" i="1"/>
  <c r="K48" i="1" s="1"/>
  <c r="J83" i="1"/>
  <c r="K83" i="1" s="1"/>
  <c r="J44" i="1"/>
  <c r="L44" i="1" s="1"/>
  <c r="J110" i="1"/>
  <c r="M110" i="1" s="1"/>
  <c r="J32" i="1"/>
  <c r="K32" i="1" s="1"/>
  <c r="J38" i="1"/>
  <c r="K38" i="1" s="1"/>
  <c r="J58" i="1"/>
  <c r="J77" i="1"/>
  <c r="J105" i="1"/>
  <c r="M105" i="1" s="1"/>
  <c r="J93" i="1"/>
  <c r="K93" i="1" s="1"/>
  <c r="J94" i="1"/>
  <c r="J89" i="1"/>
  <c r="L89" i="1" s="1"/>
  <c r="J95" i="1"/>
  <c r="K95" i="1" s="1"/>
  <c r="J90" i="1"/>
  <c r="K90" i="1" s="1"/>
  <c r="J73" i="1"/>
  <c r="J98" i="1"/>
  <c r="J99" i="1"/>
  <c r="K99" i="1" s="1"/>
  <c r="J100" i="1"/>
  <c r="K100" i="1" s="1"/>
  <c r="J21" i="1"/>
  <c r="J107" i="1"/>
  <c r="M107" i="1" s="1"/>
  <c r="J108" i="1"/>
  <c r="K108" i="1" s="1"/>
  <c r="J59" i="1"/>
  <c r="K59" i="1" s="1"/>
  <c r="J113" i="1"/>
  <c r="L113" i="1" s="1"/>
  <c r="J114" i="1"/>
  <c r="M114" i="1" s="1"/>
  <c r="J79" i="1"/>
  <c r="J112" i="1"/>
  <c r="K112" i="1" s="1"/>
  <c r="J115" i="1"/>
  <c r="J78" i="1"/>
  <c r="L78" i="1" s="1"/>
  <c r="J119" i="1"/>
  <c r="K119" i="1" s="1"/>
  <c r="J117" i="1"/>
  <c r="K117" i="1" s="1"/>
  <c r="J120" i="1"/>
  <c r="J118" i="1"/>
  <c r="J116" i="1"/>
  <c r="K116" i="1" s="1"/>
  <c r="J102" i="1"/>
  <c r="K102" i="1" s="1"/>
  <c r="J96" i="1"/>
  <c r="J43" i="1"/>
  <c r="M43" i="1" s="1"/>
  <c r="J132" i="1"/>
  <c r="K132" i="1" s="1"/>
  <c r="J111" i="1"/>
  <c r="K111" i="1" s="1"/>
  <c r="J39" i="1"/>
  <c r="J122" i="1"/>
  <c r="M122" i="1" s="1"/>
  <c r="J55" i="1"/>
  <c r="J125" i="1"/>
  <c r="K125" i="1" s="1"/>
  <c r="J123" i="1"/>
  <c r="J124" i="1"/>
  <c r="L124" i="1" s="1"/>
  <c r="J101" i="1"/>
  <c r="K101" i="1" s="1"/>
  <c r="J126" i="1"/>
  <c r="K126" i="1" s="1"/>
  <c r="J127" i="1"/>
  <c r="J70" i="1"/>
  <c r="L70" i="1" s="1"/>
  <c r="J130" i="1"/>
  <c r="K130" i="1" s="1"/>
  <c r="J71" i="1"/>
  <c r="K71" i="1" s="1"/>
  <c r="J131" i="1"/>
  <c r="J64" i="1"/>
  <c r="M64" i="1" s="1"/>
  <c r="J72" i="1"/>
  <c r="K72" i="1" s="1"/>
  <c r="J104" i="1"/>
  <c r="K104" i="1" s="1"/>
  <c r="J155" i="1"/>
  <c r="J106" i="1"/>
  <c r="M106" i="1" s="1"/>
  <c r="J133" i="1"/>
  <c r="J88" i="1"/>
  <c r="K88" i="1" s="1"/>
  <c r="J159" i="1"/>
  <c r="J170" i="1"/>
  <c r="L170" i="1" s="1"/>
  <c r="J171" i="1"/>
  <c r="K171" i="1" s="1"/>
  <c r="J81" i="1"/>
  <c r="K81" i="1" s="1"/>
  <c r="J74" i="1"/>
  <c r="J53" i="1"/>
  <c r="N53" i="1" s="1"/>
  <c r="J54" i="1"/>
  <c r="K54" i="1" s="1"/>
  <c r="J199" i="1"/>
  <c r="K199" i="1" s="1"/>
  <c r="J182" i="1"/>
  <c r="J103" i="1"/>
  <c r="N103" i="1" s="1"/>
  <c r="J180" i="1"/>
  <c r="K180" i="1" s="1"/>
  <c r="J202" i="1"/>
  <c r="K202" i="1" s="1"/>
  <c r="J97" i="1"/>
  <c r="J134" i="1"/>
  <c r="M134" i="1" s="1"/>
  <c r="J135" i="1"/>
  <c r="J136" i="1"/>
  <c r="K136" i="1" s="1"/>
  <c r="J137" i="1"/>
  <c r="J138" i="1"/>
  <c r="L138" i="1" s="1"/>
  <c r="J139" i="1"/>
  <c r="K139" i="1" s="1"/>
  <c r="J140" i="1"/>
  <c r="K140" i="1" s="1"/>
  <c r="J141" i="1"/>
  <c r="J142" i="1"/>
  <c r="N142" i="1" s="1"/>
  <c r="J143" i="1"/>
  <c r="K143" i="1" s="1"/>
  <c r="J144" i="1"/>
  <c r="K144" i="1" s="1"/>
  <c r="J145" i="1"/>
  <c r="J146" i="1"/>
  <c r="N146" i="1" s="1"/>
  <c r="J147" i="1"/>
  <c r="K147" i="1" s="1"/>
  <c r="J148" i="1"/>
  <c r="K148" i="1" s="1"/>
  <c r="J149" i="1"/>
  <c r="J150" i="1"/>
  <c r="M150" i="1" s="1"/>
  <c r="J151" i="1"/>
  <c r="J152" i="1"/>
  <c r="K152" i="1" s="1"/>
  <c r="J153" i="1"/>
  <c r="J154" i="1"/>
  <c r="L154" i="1" s="1"/>
  <c r="J128" i="1"/>
  <c r="K128" i="1" s="1"/>
  <c r="J156" i="1"/>
  <c r="K156" i="1" s="1"/>
  <c r="J157" i="1"/>
  <c r="J158" i="1"/>
  <c r="J51" i="1"/>
  <c r="K51" i="1" s="1"/>
  <c r="J160" i="1"/>
  <c r="K160" i="1" s="1"/>
  <c r="J161" i="1"/>
  <c r="J162" i="1"/>
  <c r="J163" i="1"/>
  <c r="K163" i="1" s="1"/>
  <c r="J164" i="1"/>
  <c r="K164" i="1" s="1"/>
  <c r="J165" i="1"/>
  <c r="J166" i="1"/>
  <c r="J167" i="1"/>
  <c r="K167" i="1" s="1"/>
  <c r="J168" i="1"/>
  <c r="K168" i="1" s="1"/>
  <c r="J169" i="1"/>
  <c r="J129" i="1"/>
  <c r="J92" i="1"/>
  <c r="K92" i="1" s="1"/>
  <c r="J172" i="1"/>
  <c r="K172" i="1" s="1"/>
  <c r="J173" i="1"/>
  <c r="J174" i="1"/>
  <c r="J175" i="1"/>
  <c r="K175" i="1" s="1"/>
  <c r="J176" i="1"/>
  <c r="K176" i="1" s="1"/>
  <c r="J177" i="1"/>
  <c r="J178" i="1"/>
  <c r="J179" i="1"/>
  <c r="K179" i="1" s="1"/>
  <c r="J121" i="1"/>
  <c r="K121" i="1" s="1"/>
  <c r="J181" i="1"/>
  <c r="J60" i="1"/>
  <c r="J183" i="1"/>
  <c r="K183" i="1" s="1"/>
  <c r="J184" i="1"/>
  <c r="K184" i="1" s="1"/>
  <c r="J185" i="1"/>
  <c r="J186" i="1"/>
  <c r="J187" i="1"/>
  <c r="K187" i="1" s="1"/>
  <c r="J188" i="1"/>
  <c r="K188" i="1" s="1"/>
  <c r="J189" i="1"/>
  <c r="J190" i="1"/>
  <c r="J191" i="1"/>
  <c r="K191" i="1" s="1"/>
  <c r="J192" i="1"/>
  <c r="K192" i="1" s="1"/>
  <c r="J193" i="1"/>
  <c r="J194" i="1"/>
  <c r="J195" i="1"/>
  <c r="K195" i="1" s="1"/>
  <c r="J196" i="1"/>
  <c r="K196" i="1" s="1"/>
  <c r="J197" i="1"/>
  <c r="J198" i="1"/>
  <c r="J5" i="1"/>
  <c r="K5" i="1" s="1"/>
  <c r="J200" i="1"/>
  <c r="K200" i="1" s="1"/>
  <c r="J201" i="1"/>
  <c r="J52" i="1"/>
  <c r="J203" i="1"/>
  <c r="K203" i="1" s="1"/>
  <c r="J204" i="1"/>
  <c r="K204" i="1" s="1"/>
  <c r="J205" i="1"/>
  <c r="J206" i="1"/>
  <c r="J207" i="1"/>
  <c r="K207" i="1" s="1"/>
  <c r="J208" i="1"/>
  <c r="K208" i="1" s="1"/>
  <c r="J209" i="1"/>
  <c r="J210" i="1"/>
  <c r="J211" i="1"/>
  <c r="K211" i="1" s="1"/>
  <c r="J212" i="1"/>
  <c r="K212" i="1" s="1"/>
  <c r="J213" i="1"/>
  <c r="J214" i="1"/>
  <c r="J215" i="1"/>
  <c r="K215" i="1" s="1"/>
  <c r="J216" i="1"/>
  <c r="K216" i="1" s="1"/>
  <c r="J217" i="1"/>
  <c r="J218" i="1"/>
  <c r="J219" i="1"/>
  <c r="K219" i="1" s="1"/>
  <c r="J220" i="1"/>
  <c r="K220" i="1" s="1"/>
  <c r="J221" i="1"/>
  <c r="J222" i="1"/>
  <c r="J223" i="1"/>
  <c r="K223" i="1" s="1"/>
  <c r="J224" i="1"/>
  <c r="K224" i="1" s="1"/>
  <c r="J225" i="1"/>
  <c r="J226" i="1"/>
  <c r="J227" i="1"/>
  <c r="K227" i="1" s="1"/>
  <c r="J228" i="1"/>
  <c r="K228" i="1" s="1"/>
  <c r="J229" i="1"/>
  <c r="J230" i="1"/>
  <c r="J231" i="1"/>
  <c r="K231" i="1" s="1"/>
  <c r="J232" i="1"/>
  <c r="K232" i="1" s="1"/>
  <c r="D3" i="1"/>
  <c r="D4" i="1"/>
  <c r="D6" i="1"/>
  <c r="D18" i="1"/>
  <c r="D16" i="1"/>
  <c r="D22" i="1"/>
  <c r="D15" i="1"/>
  <c r="D19" i="1"/>
  <c r="D7" i="1"/>
  <c r="D8" i="1"/>
  <c r="D11" i="1"/>
  <c r="D17" i="1"/>
  <c r="D10" i="1"/>
  <c r="D12" i="1"/>
  <c r="D42" i="1"/>
  <c r="D36" i="1"/>
  <c r="D13" i="1"/>
  <c r="D84" i="1"/>
  <c r="D85" i="1"/>
  <c r="D87" i="1"/>
  <c r="D91" i="1"/>
  <c r="D14" i="1"/>
  <c r="D24" i="1"/>
  <c r="D9" i="1"/>
  <c r="D27" i="1"/>
  <c r="D29" i="1"/>
  <c r="D23" i="1"/>
  <c r="D65" i="1"/>
  <c r="D49" i="1"/>
  <c r="D86" i="1"/>
  <c r="D33" i="1"/>
  <c r="D66" i="1"/>
  <c r="D34" i="1"/>
  <c r="D35" i="1"/>
  <c r="D26" i="1"/>
  <c r="D25" i="1"/>
  <c r="D20" i="1"/>
  <c r="D80" i="1"/>
  <c r="D61" i="1"/>
  <c r="D62" i="1"/>
  <c r="D31" i="1"/>
  <c r="D56" i="1"/>
  <c r="D28" i="1"/>
  <c r="D40" i="1"/>
  <c r="D45" i="1"/>
  <c r="D30" i="1"/>
  <c r="D41" i="1"/>
  <c r="D109" i="1"/>
  <c r="D47" i="1"/>
  <c r="D37" i="1"/>
  <c r="D82" i="1"/>
  <c r="D50" i="1"/>
  <c r="D63" i="1"/>
  <c r="D75" i="1"/>
  <c r="D46" i="1"/>
  <c r="D76" i="1"/>
  <c r="D68" i="1"/>
  <c r="D67" i="1"/>
  <c r="D69" i="1"/>
  <c r="D57" i="1"/>
  <c r="D48" i="1"/>
  <c r="D83" i="1"/>
  <c r="D44" i="1"/>
  <c r="D110" i="1"/>
  <c r="D32" i="1"/>
  <c r="D38" i="1"/>
  <c r="D58" i="1"/>
  <c r="D77" i="1"/>
  <c r="D105" i="1"/>
  <c r="D93" i="1"/>
  <c r="D94" i="1"/>
  <c r="D89" i="1"/>
  <c r="D95" i="1"/>
  <c r="D90" i="1"/>
  <c r="D73" i="1"/>
  <c r="D98" i="1"/>
  <c r="D99" i="1"/>
  <c r="D100" i="1"/>
  <c r="D21" i="1"/>
  <c r="D107" i="1"/>
  <c r="D108" i="1"/>
  <c r="D59" i="1"/>
  <c r="D113" i="1"/>
  <c r="D114" i="1"/>
  <c r="D79" i="1"/>
  <c r="D112" i="1"/>
  <c r="D115" i="1"/>
  <c r="D78" i="1"/>
  <c r="D119" i="1"/>
  <c r="D117" i="1"/>
  <c r="D120" i="1"/>
  <c r="D118" i="1"/>
  <c r="D116" i="1"/>
  <c r="D102" i="1"/>
  <c r="D96" i="1"/>
  <c r="D43" i="1"/>
  <c r="D132" i="1"/>
  <c r="D111" i="1"/>
  <c r="D39" i="1"/>
  <c r="D122" i="1"/>
  <c r="D55" i="1"/>
  <c r="D125" i="1"/>
  <c r="D123" i="1"/>
  <c r="D124" i="1"/>
  <c r="D101" i="1"/>
  <c r="D126" i="1"/>
  <c r="D127" i="1"/>
  <c r="D70" i="1"/>
  <c r="D130" i="1"/>
  <c r="D71" i="1"/>
  <c r="D131" i="1"/>
  <c r="D64" i="1"/>
  <c r="D72" i="1"/>
  <c r="D104" i="1"/>
  <c r="D155" i="1"/>
  <c r="D106" i="1"/>
  <c r="D133" i="1"/>
  <c r="D88" i="1"/>
  <c r="D159" i="1"/>
  <c r="D170" i="1"/>
  <c r="D171" i="1"/>
  <c r="D81" i="1"/>
  <c r="D74" i="1"/>
  <c r="D53" i="1"/>
  <c r="D54" i="1"/>
  <c r="D199" i="1"/>
  <c r="D182" i="1"/>
  <c r="D103" i="1"/>
  <c r="D180" i="1"/>
  <c r="D202" i="1"/>
  <c r="D97" i="1"/>
  <c r="D134" i="1"/>
  <c r="D135" i="1"/>
  <c r="D136" i="1"/>
  <c r="D137" i="1"/>
  <c r="D138" i="1"/>
  <c r="D139" i="1"/>
  <c r="D140" i="1"/>
  <c r="D141" i="1"/>
  <c r="D142" i="1"/>
  <c r="D143" i="1"/>
  <c r="D144" i="1"/>
  <c r="D145" i="1"/>
  <c r="D146" i="1"/>
  <c r="D147" i="1"/>
  <c r="D148" i="1"/>
  <c r="D149" i="1"/>
  <c r="D150" i="1"/>
  <c r="D151" i="1"/>
  <c r="D152" i="1"/>
  <c r="D153" i="1"/>
  <c r="D154" i="1"/>
  <c r="D128" i="1"/>
  <c r="D156" i="1"/>
  <c r="D157" i="1"/>
  <c r="D158" i="1"/>
  <c r="D51" i="1"/>
  <c r="D160" i="1"/>
  <c r="D161" i="1"/>
  <c r="D162" i="1"/>
  <c r="D163" i="1"/>
  <c r="D164" i="1"/>
  <c r="D165" i="1"/>
  <c r="D166" i="1"/>
  <c r="D167" i="1"/>
  <c r="D168" i="1"/>
  <c r="D169" i="1"/>
  <c r="D129" i="1"/>
  <c r="D92" i="1"/>
  <c r="D172" i="1"/>
  <c r="D173" i="1"/>
  <c r="D174" i="1"/>
  <c r="D175" i="1"/>
  <c r="D176" i="1"/>
  <c r="D177" i="1"/>
  <c r="D178" i="1"/>
  <c r="D179" i="1"/>
  <c r="D121" i="1"/>
  <c r="D181" i="1"/>
  <c r="D60" i="1"/>
  <c r="D183" i="1"/>
  <c r="D184" i="1"/>
  <c r="D185" i="1"/>
  <c r="D186" i="1"/>
  <c r="D187" i="1"/>
  <c r="D188" i="1"/>
  <c r="D189" i="1"/>
  <c r="D190" i="1"/>
  <c r="D191" i="1"/>
  <c r="D192" i="1"/>
  <c r="D193" i="1"/>
  <c r="D194" i="1"/>
  <c r="D195" i="1"/>
  <c r="D196" i="1"/>
  <c r="D197" i="1"/>
  <c r="D198" i="1"/>
  <c r="D5" i="1"/>
  <c r="D200" i="1"/>
  <c r="D201" i="1"/>
  <c r="D52" i="1"/>
  <c r="D203" i="1"/>
  <c r="D204" i="1"/>
  <c r="D205" i="1"/>
  <c r="D206" i="1"/>
  <c r="D207" i="1"/>
  <c r="D208" i="1"/>
  <c r="D209" i="1"/>
  <c r="D210" i="1"/>
  <c r="D211" i="1"/>
  <c r="D212" i="1"/>
  <c r="D213" i="1"/>
  <c r="D214" i="1"/>
  <c r="D215" i="1"/>
  <c r="D216" i="1"/>
  <c r="D217" i="1"/>
  <c r="D218" i="1"/>
  <c r="AT218" i="1" s="1"/>
  <c r="D219" i="1"/>
  <c r="D220" i="1"/>
  <c r="D221" i="1"/>
  <c r="D222" i="1"/>
  <c r="D223" i="1"/>
  <c r="D224" i="1"/>
  <c r="D225" i="1"/>
  <c r="D226" i="1"/>
  <c r="D227" i="1"/>
  <c r="D228" i="1"/>
  <c r="D229" i="1"/>
  <c r="D230" i="1"/>
  <c r="D231" i="1"/>
  <c r="D232" i="1"/>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2" i="12"/>
  <c r="AN233" i="1" l="1"/>
  <c r="AO50" i="1"/>
  <c r="AU154" i="1"/>
  <c r="AU65" i="1"/>
  <c r="AU186" i="1"/>
  <c r="AU138" i="1"/>
  <c r="AU123" i="1"/>
  <c r="AU42" i="1"/>
  <c r="AR85" i="1"/>
  <c r="AO3" i="1"/>
  <c r="AO70" i="1"/>
  <c r="AP57" i="1"/>
  <c r="AT155" i="1"/>
  <c r="AU79" i="1"/>
  <c r="AU108" i="1"/>
  <c r="AU10" i="1"/>
  <c r="AQ204" i="1"/>
  <c r="AR146" i="1"/>
  <c r="AO48" i="1"/>
  <c r="AP79" i="1"/>
  <c r="AP40" i="1"/>
  <c r="AQ188" i="1"/>
  <c r="AQ125" i="1"/>
  <c r="AR194" i="1"/>
  <c r="AR131" i="1"/>
  <c r="AR51" i="1"/>
  <c r="AU192" i="1"/>
  <c r="AU176" i="1"/>
  <c r="AT202" i="1"/>
  <c r="AT93" i="1"/>
  <c r="AU75" i="1"/>
  <c r="AP51" i="1"/>
  <c r="AP23" i="1"/>
  <c r="AQ172" i="1"/>
  <c r="AQ110" i="1"/>
  <c r="AR178" i="1"/>
  <c r="AR117" i="1"/>
  <c r="AR49" i="1"/>
  <c r="AT5" i="1"/>
  <c r="AU171" i="1"/>
  <c r="AU27" i="1"/>
  <c r="AO77" i="1"/>
  <c r="AO61" i="1"/>
  <c r="AP65" i="1"/>
  <c r="AP6" i="1"/>
  <c r="AQ156" i="1"/>
  <c r="AQ95" i="1"/>
  <c r="AR162" i="1"/>
  <c r="AR100" i="1"/>
  <c r="AR14" i="1"/>
  <c r="AU214" i="1"/>
  <c r="AT214" i="1"/>
  <c r="AU129" i="1"/>
  <c r="AT129" i="1"/>
  <c r="AU158" i="1"/>
  <c r="AT158" i="1"/>
  <c r="AU146" i="1"/>
  <c r="AT146" i="1"/>
  <c r="AU53" i="1"/>
  <c r="AT53" i="1"/>
  <c r="AU106" i="1"/>
  <c r="AT106" i="1"/>
  <c r="AU122" i="1"/>
  <c r="AT122" i="1"/>
  <c r="AU114" i="1"/>
  <c r="AT114" i="1"/>
  <c r="AU77" i="1"/>
  <c r="AT77" i="1"/>
  <c r="AU62" i="1"/>
  <c r="AT62" i="1"/>
  <c r="AU87" i="1"/>
  <c r="AT87" i="1"/>
  <c r="AQ229" i="1"/>
  <c r="AR229" i="1"/>
  <c r="AQ225" i="1"/>
  <c r="AR225" i="1"/>
  <c r="AQ221" i="1"/>
  <c r="AR221" i="1"/>
  <c r="AQ217" i="1"/>
  <c r="AR217" i="1"/>
  <c r="AQ213" i="1"/>
  <c r="AR213" i="1"/>
  <c r="AQ209" i="1"/>
  <c r="AR209" i="1"/>
  <c r="AQ205" i="1"/>
  <c r="AR205" i="1"/>
  <c r="AQ201" i="1"/>
  <c r="AR201" i="1"/>
  <c r="AQ197" i="1"/>
  <c r="AR197" i="1"/>
  <c r="AQ193" i="1"/>
  <c r="AR193" i="1"/>
  <c r="AQ189" i="1"/>
  <c r="AR189" i="1"/>
  <c r="AQ185" i="1"/>
  <c r="AR185" i="1"/>
  <c r="AQ181" i="1"/>
  <c r="AR181" i="1"/>
  <c r="AQ177" i="1"/>
  <c r="AR177" i="1"/>
  <c r="AQ173" i="1"/>
  <c r="AR173" i="1"/>
  <c r="AQ169" i="1"/>
  <c r="AR169" i="1"/>
  <c r="AQ165" i="1"/>
  <c r="AR165" i="1"/>
  <c r="AQ161" i="1"/>
  <c r="AR161" i="1"/>
  <c r="AQ157" i="1"/>
  <c r="AR157" i="1"/>
  <c r="AQ153" i="1"/>
  <c r="AR153" i="1"/>
  <c r="AQ149" i="1"/>
  <c r="AR149" i="1"/>
  <c r="AQ145" i="1"/>
  <c r="AR145" i="1"/>
  <c r="AQ141" i="1"/>
  <c r="AR141" i="1"/>
  <c r="AQ137" i="1"/>
  <c r="AR137" i="1"/>
  <c r="AQ155" i="1"/>
  <c r="AR155" i="1"/>
  <c r="AQ130" i="1"/>
  <c r="AR130" i="1"/>
  <c r="AQ126" i="1"/>
  <c r="AR126" i="1"/>
  <c r="AQ122" i="1"/>
  <c r="AR122" i="1"/>
  <c r="AQ120" i="1"/>
  <c r="AR120" i="1"/>
  <c r="AQ116" i="1"/>
  <c r="AR116" i="1"/>
  <c r="AQ112" i="1"/>
  <c r="AR112" i="1"/>
  <c r="AQ107" i="1"/>
  <c r="AR107" i="1"/>
  <c r="AQ103" i="1"/>
  <c r="AR103" i="1"/>
  <c r="AQ99" i="1"/>
  <c r="AR99" i="1"/>
  <c r="AQ96" i="1"/>
  <c r="AR96" i="1"/>
  <c r="AQ91" i="1"/>
  <c r="AR91" i="1"/>
  <c r="AQ88" i="1"/>
  <c r="AR88" i="1"/>
  <c r="AQ84" i="1"/>
  <c r="AR84" i="1"/>
  <c r="AQ73" i="1"/>
  <c r="AR73" i="1"/>
  <c r="AP73" i="1"/>
  <c r="AQ64" i="1"/>
  <c r="AR64" i="1"/>
  <c r="AP64" i="1"/>
  <c r="AQ75" i="1"/>
  <c r="AR75" i="1"/>
  <c r="AP75" i="1"/>
  <c r="AQ72" i="1"/>
  <c r="AR72" i="1"/>
  <c r="AP72" i="1"/>
  <c r="AQ68" i="1"/>
  <c r="AR68" i="1"/>
  <c r="AP68" i="1"/>
  <c r="AQ63" i="1"/>
  <c r="AR63" i="1"/>
  <c r="AP63" i="1"/>
  <c r="AR60" i="1"/>
  <c r="AQ60" i="1"/>
  <c r="AP60" i="1"/>
  <c r="AR54" i="1"/>
  <c r="AQ54" i="1"/>
  <c r="AP54" i="1"/>
  <c r="AR47" i="1"/>
  <c r="AQ47" i="1"/>
  <c r="AP47" i="1"/>
  <c r="AR39" i="1"/>
  <c r="AQ39" i="1"/>
  <c r="AP39" i="1"/>
  <c r="AR37" i="1"/>
  <c r="AQ37" i="1"/>
  <c r="AP37" i="1"/>
  <c r="AR28" i="1"/>
  <c r="AQ28" i="1"/>
  <c r="AP28" i="1"/>
  <c r="AR31" i="1"/>
  <c r="AQ31" i="1"/>
  <c r="AP31" i="1"/>
  <c r="AR25" i="1"/>
  <c r="AQ25" i="1"/>
  <c r="AP25" i="1"/>
  <c r="AR22" i="1"/>
  <c r="AQ22" i="1"/>
  <c r="AP22" i="1"/>
  <c r="AR16" i="1"/>
  <c r="AQ16" i="1"/>
  <c r="AP16" i="1"/>
  <c r="AR12" i="1"/>
  <c r="AQ12" i="1"/>
  <c r="AP12" i="1"/>
  <c r="AR7" i="1"/>
  <c r="AQ7" i="1"/>
  <c r="AP7" i="1"/>
  <c r="AR5" i="1"/>
  <c r="AQ5" i="1"/>
  <c r="AP5" i="1"/>
  <c r="AP229" i="1"/>
  <c r="AP225" i="1"/>
  <c r="AP221" i="1"/>
  <c r="AP217" i="1"/>
  <c r="AP213" i="1"/>
  <c r="AP209" i="1"/>
  <c r="AP205" i="1"/>
  <c r="AP201" i="1"/>
  <c r="AP197" i="1"/>
  <c r="AP193" i="1"/>
  <c r="AP189" i="1"/>
  <c r="AP185" i="1"/>
  <c r="AP181" i="1"/>
  <c r="AP177" i="1"/>
  <c r="AP173" i="1"/>
  <c r="AP169" i="1"/>
  <c r="AP165" i="1"/>
  <c r="AP161" i="1"/>
  <c r="AP157" i="1"/>
  <c r="AP153" i="1"/>
  <c r="AP149" i="1"/>
  <c r="AP145" i="1"/>
  <c r="AP141" i="1"/>
  <c r="AP137" i="1"/>
  <c r="AP155" i="1"/>
  <c r="AP130" i="1"/>
  <c r="AP126" i="1"/>
  <c r="AP122" i="1"/>
  <c r="AP120" i="1"/>
  <c r="AP116" i="1"/>
  <c r="AP112" i="1"/>
  <c r="AP107" i="1"/>
  <c r="AP103" i="1"/>
  <c r="AP99" i="1"/>
  <c r="AP96" i="1"/>
  <c r="AP91" i="1"/>
  <c r="AP88" i="1"/>
  <c r="AP84" i="1"/>
  <c r="AQ220" i="1"/>
  <c r="AR226" i="1"/>
  <c r="AR210" i="1"/>
  <c r="AT154" i="1"/>
  <c r="AT27" i="1"/>
  <c r="AU226" i="1"/>
  <c r="AT226" i="1"/>
  <c r="H206" i="1"/>
  <c r="AU206" i="1"/>
  <c r="AT206" i="1"/>
  <c r="AU198" i="1"/>
  <c r="AT198" i="1"/>
  <c r="AT60" i="1"/>
  <c r="AU60" i="1"/>
  <c r="AU142" i="1"/>
  <c r="AT142" i="1"/>
  <c r="AT103" i="1"/>
  <c r="AU103" i="1"/>
  <c r="AU70" i="1"/>
  <c r="AT70" i="1"/>
  <c r="AU43" i="1"/>
  <c r="AT43" i="1"/>
  <c r="AU78" i="1"/>
  <c r="AT78" i="1"/>
  <c r="AU89" i="1"/>
  <c r="AT89" i="1"/>
  <c r="AU57" i="1"/>
  <c r="AT57" i="1"/>
  <c r="AU50" i="1"/>
  <c r="AT50" i="1"/>
  <c r="AU40" i="1"/>
  <c r="AT40" i="1"/>
  <c r="AU25" i="1"/>
  <c r="AT25" i="1"/>
  <c r="AU9" i="1"/>
  <c r="AT9" i="1"/>
  <c r="AU17" i="1"/>
  <c r="AT17" i="1"/>
  <c r="AU18" i="1"/>
  <c r="AT18" i="1"/>
  <c r="AU229" i="1"/>
  <c r="AT229" i="1"/>
  <c r="H225" i="1"/>
  <c r="AU225" i="1"/>
  <c r="AT225" i="1"/>
  <c r="AU221" i="1"/>
  <c r="AT221" i="1"/>
  <c r="H217" i="1"/>
  <c r="AU217" i="1"/>
  <c r="AT217" i="1"/>
  <c r="AU213" i="1"/>
  <c r="AT213" i="1"/>
  <c r="H209" i="1"/>
  <c r="AU209" i="1"/>
  <c r="AT209" i="1"/>
  <c r="H205" i="1"/>
  <c r="AU205" i="1"/>
  <c r="AT205" i="1"/>
  <c r="AU201" i="1"/>
  <c r="AT201" i="1"/>
  <c r="AU197" i="1"/>
  <c r="AT197" i="1"/>
  <c r="AU193" i="1"/>
  <c r="AT193" i="1"/>
  <c r="AU189" i="1"/>
  <c r="AT189" i="1"/>
  <c r="AU185" i="1"/>
  <c r="AT185" i="1"/>
  <c r="AU181" i="1"/>
  <c r="AT181" i="1"/>
  <c r="AU177" i="1"/>
  <c r="AT177" i="1"/>
  <c r="AU173" i="1"/>
  <c r="AT173" i="1"/>
  <c r="AU169" i="1"/>
  <c r="AT169" i="1"/>
  <c r="AU165" i="1"/>
  <c r="AT165" i="1"/>
  <c r="AU161" i="1"/>
  <c r="AT161" i="1"/>
  <c r="AU157" i="1"/>
  <c r="AT157" i="1"/>
  <c r="AU153" i="1"/>
  <c r="AT153" i="1"/>
  <c r="AU149" i="1"/>
  <c r="AT149" i="1"/>
  <c r="AU145" i="1"/>
  <c r="AT145" i="1"/>
  <c r="AU141" i="1"/>
  <c r="AT141" i="1"/>
  <c r="AU137" i="1"/>
  <c r="AT137" i="1"/>
  <c r="AU97" i="1"/>
  <c r="AT97" i="1"/>
  <c r="AT182" i="1"/>
  <c r="AU182" i="1"/>
  <c r="AU74" i="1"/>
  <c r="AT74" i="1"/>
  <c r="AT159" i="1"/>
  <c r="AU159" i="1"/>
  <c r="AU131" i="1"/>
  <c r="AT131" i="1"/>
  <c r="AU127" i="1"/>
  <c r="AT127" i="1"/>
  <c r="AU39" i="1"/>
  <c r="AT39" i="1"/>
  <c r="AU96" i="1"/>
  <c r="AT96" i="1"/>
  <c r="AT120" i="1"/>
  <c r="AU120" i="1"/>
  <c r="AU115" i="1"/>
  <c r="AT115" i="1"/>
  <c r="AU113" i="1"/>
  <c r="AT113" i="1"/>
  <c r="AU21" i="1"/>
  <c r="AT21" i="1"/>
  <c r="AU73" i="1"/>
  <c r="AT73" i="1"/>
  <c r="AU94" i="1"/>
  <c r="AT94" i="1"/>
  <c r="AU58" i="1"/>
  <c r="AT58" i="1"/>
  <c r="AU44" i="1"/>
  <c r="AT44" i="1"/>
  <c r="AU69" i="1"/>
  <c r="AT69" i="1"/>
  <c r="AU46" i="1"/>
  <c r="AT46" i="1"/>
  <c r="AU82" i="1"/>
  <c r="AT82" i="1"/>
  <c r="AU41" i="1"/>
  <c r="AT41" i="1"/>
  <c r="AU28" i="1"/>
  <c r="AT28" i="1"/>
  <c r="AU61" i="1"/>
  <c r="AT61" i="1"/>
  <c r="AU26" i="1"/>
  <c r="AT26" i="1"/>
  <c r="AU33" i="1"/>
  <c r="AT33" i="1"/>
  <c r="AU23" i="1"/>
  <c r="AT23" i="1"/>
  <c r="AU24" i="1"/>
  <c r="AT24" i="1"/>
  <c r="AU85" i="1"/>
  <c r="AT85" i="1"/>
  <c r="AU11" i="1"/>
  <c r="AT11" i="1"/>
  <c r="AU15" i="1"/>
  <c r="AT15" i="1"/>
  <c r="AU6" i="1"/>
  <c r="AT6" i="1"/>
  <c r="AR83" i="1"/>
  <c r="AP83" i="1"/>
  <c r="AR82" i="1"/>
  <c r="AP82" i="1"/>
  <c r="AR78" i="1"/>
  <c r="AP78" i="1"/>
  <c r="AR46" i="1"/>
  <c r="AP46" i="1"/>
  <c r="AR71" i="1"/>
  <c r="AP71" i="1"/>
  <c r="AR67" i="1"/>
  <c r="AP67" i="1"/>
  <c r="AR62" i="1"/>
  <c r="AP62" i="1"/>
  <c r="AR59" i="1"/>
  <c r="AP59" i="1"/>
  <c r="AR53" i="1"/>
  <c r="AP53" i="1"/>
  <c r="AR45" i="1"/>
  <c r="AP45" i="1"/>
  <c r="AR38" i="1"/>
  <c r="AP38" i="1"/>
  <c r="AR32" i="1"/>
  <c r="AP32" i="1"/>
  <c r="AR26" i="1"/>
  <c r="AP26" i="1"/>
  <c r="AR30" i="1"/>
  <c r="AP30" i="1"/>
  <c r="AR24" i="1"/>
  <c r="AP24" i="1"/>
  <c r="AR21" i="1"/>
  <c r="AP21" i="1"/>
  <c r="AR18" i="1"/>
  <c r="AP18" i="1"/>
  <c r="AR13" i="1"/>
  <c r="AP13" i="1"/>
  <c r="AR8" i="1"/>
  <c r="AP8" i="1"/>
  <c r="AR4" i="1"/>
  <c r="AP4" i="1"/>
  <c r="AO230" i="1"/>
  <c r="AO226" i="1"/>
  <c r="AO222" i="1"/>
  <c r="AO218" i="1"/>
  <c r="AO214" i="1"/>
  <c r="AO210" i="1"/>
  <c r="AO206" i="1"/>
  <c r="AO202" i="1"/>
  <c r="AO198" i="1"/>
  <c r="AO194" i="1"/>
  <c r="AO190" i="1"/>
  <c r="AO186" i="1"/>
  <c r="AO199" i="1"/>
  <c r="AO178" i="1"/>
  <c r="AO174" i="1"/>
  <c r="AO171" i="1"/>
  <c r="AO166" i="1"/>
  <c r="AO162" i="1"/>
  <c r="AO158" i="1"/>
  <c r="AO154" i="1"/>
  <c r="AO150" i="1"/>
  <c r="AO146" i="1"/>
  <c r="AO142" i="1"/>
  <c r="AO138" i="1"/>
  <c r="AO134" i="1"/>
  <c r="AO131" i="1"/>
  <c r="AO127" i="1"/>
  <c r="AO123" i="1"/>
  <c r="AO111" i="1"/>
  <c r="AO117" i="1"/>
  <c r="AO113" i="1"/>
  <c r="AO108" i="1"/>
  <c r="AO104" i="1"/>
  <c r="AO100" i="1"/>
  <c r="AO81" i="1"/>
  <c r="AO93" i="1"/>
  <c r="AO89" i="1"/>
  <c r="AO85" i="1"/>
  <c r="AO74" i="1"/>
  <c r="AO79" i="1"/>
  <c r="AO76" i="1"/>
  <c r="AO51" i="1"/>
  <c r="AS51" i="1" s="1"/>
  <c r="AO69" i="1"/>
  <c r="AO65" i="1"/>
  <c r="AO56" i="1"/>
  <c r="AO49" i="1"/>
  <c r="AO40" i="1"/>
  <c r="AO35" i="1"/>
  <c r="AO33" i="1"/>
  <c r="AO23" i="1"/>
  <c r="AO20" i="1"/>
  <c r="AO14" i="1"/>
  <c r="AO6" i="1"/>
  <c r="AP232" i="1"/>
  <c r="AP228" i="1"/>
  <c r="AP224" i="1"/>
  <c r="AP220" i="1"/>
  <c r="AP216" i="1"/>
  <c r="AP212" i="1"/>
  <c r="AP208" i="1"/>
  <c r="AP204" i="1"/>
  <c r="AP200" i="1"/>
  <c r="AP196" i="1"/>
  <c r="AP192" i="1"/>
  <c r="AP188" i="1"/>
  <c r="AP184" i="1"/>
  <c r="AP182" i="1"/>
  <c r="AP176" i="1"/>
  <c r="AP172" i="1"/>
  <c r="AP168" i="1"/>
  <c r="AP164" i="1"/>
  <c r="AP160" i="1"/>
  <c r="AP156" i="1"/>
  <c r="AP152" i="1"/>
  <c r="AP148" i="1"/>
  <c r="AP144" i="1"/>
  <c r="AP140" i="1"/>
  <c r="AP136" i="1"/>
  <c r="AP133" i="1"/>
  <c r="AP129" i="1"/>
  <c r="AP125" i="1"/>
  <c r="AP55" i="1"/>
  <c r="AP119" i="1"/>
  <c r="AP115" i="1"/>
  <c r="AP110" i="1"/>
  <c r="AP106" i="1"/>
  <c r="AP102" i="1"/>
  <c r="AP98" i="1"/>
  <c r="AP95" i="1"/>
  <c r="AP43" i="1"/>
  <c r="AP86" i="1"/>
  <c r="AQ232" i="1"/>
  <c r="AQ216" i="1"/>
  <c r="AQ200" i="1"/>
  <c r="AQ184" i="1"/>
  <c r="AQ168" i="1"/>
  <c r="AQ152" i="1"/>
  <c r="AQ136" i="1"/>
  <c r="AQ55" i="1"/>
  <c r="AQ106" i="1"/>
  <c r="AQ43" i="1"/>
  <c r="AQ78" i="1"/>
  <c r="AQ62" i="1"/>
  <c r="AQ38" i="1"/>
  <c r="AQ24" i="1"/>
  <c r="AQ8" i="1"/>
  <c r="AR222" i="1"/>
  <c r="AR206" i="1"/>
  <c r="AR190" i="1"/>
  <c r="AR174" i="1"/>
  <c r="AR158" i="1"/>
  <c r="AR142" i="1"/>
  <c r="AR127" i="1"/>
  <c r="AR113" i="1"/>
  <c r="AR81" i="1"/>
  <c r="AR74" i="1"/>
  <c r="AR69" i="1"/>
  <c r="AR40" i="1"/>
  <c r="AR6" i="1"/>
  <c r="AT138" i="1"/>
  <c r="AT79" i="1"/>
  <c r="AT10" i="1"/>
  <c r="AU5" i="1"/>
  <c r="H230" i="1"/>
  <c r="AU230" i="1"/>
  <c r="AT230" i="1"/>
  <c r="H218" i="1"/>
  <c r="AU218" i="1"/>
  <c r="AU52" i="1"/>
  <c r="AT52" i="1"/>
  <c r="AU190" i="1"/>
  <c r="AT190" i="1"/>
  <c r="AU178" i="1"/>
  <c r="AT178" i="1"/>
  <c r="AU162" i="1"/>
  <c r="AT162" i="1"/>
  <c r="AU150" i="1"/>
  <c r="AT150" i="1"/>
  <c r="AU134" i="1"/>
  <c r="AT134" i="1"/>
  <c r="AU124" i="1"/>
  <c r="AT124" i="1"/>
  <c r="AU118" i="1"/>
  <c r="AT118" i="1"/>
  <c r="AU107" i="1"/>
  <c r="AT107" i="1"/>
  <c r="AU110" i="1"/>
  <c r="AT110" i="1"/>
  <c r="AU109" i="1"/>
  <c r="AT109" i="1"/>
  <c r="AU66" i="1"/>
  <c r="AT66" i="1"/>
  <c r="AU36" i="1"/>
  <c r="AT36" i="1"/>
  <c r="H232" i="1"/>
  <c r="AT232" i="1"/>
  <c r="AU232" i="1"/>
  <c r="H228" i="1"/>
  <c r="AT228" i="1"/>
  <c r="AU228" i="1"/>
  <c r="H224" i="1"/>
  <c r="AT224" i="1"/>
  <c r="H220" i="1"/>
  <c r="AT220" i="1"/>
  <c r="AU220" i="1"/>
  <c r="H216" i="1"/>
  <c r="AT216" i="1"/>
  <c r="AU216" i="1"/>
  <c r="H212" i="1"/>
  <c r="AT212" i="1"/>
  <c r="AU212" i="1"/>
  <c r="H208" i="1"/>
  <c r="AT208" i="1"/>
  <c r="H204" i="1"/>
  <c r="AT204" i="1"/>
  <c r="AU204" i="1"/>
  <c r="AT200" i="1"/>
  <c r="AU200" i="1"/>
  <c r="AT196" i="1"/>
  <c r="AU196" i="1"/>
  <c r="AT192" i="1"/>
  <c r="AT188" i="1"/>
  <c r="AU188" i="1"/>
  <c r="AT184" i="1"/>
  <c r="AU184" i="1"/>
  <c r="AU121" i="1"/>
  <c r="AT121" i="1"/>
  <c r="AT176" i="1"/>
  <c r="AT172" i="1"/>
  <c r="AU172" i="1"/>
  <c r="AT168" i="1"/>
  <c r="AU168" i="1"/>
  <c r="AT164" i="1"/>
  <c r="AU164" i="1"/>
  <c r="AT160" i="1"/>
  <c r="AT156" i="1"/>
  <c r="AU156" i="1"/>
  <c r="AT152" i="1"/>
  <c r="AU152" i="1"/>
  <c r="AU148" i="1"/>
  <c r="AT148" i="1"/>
  <c r="AU144" i="1"/>
  <c r="AT144" i="1"/>
  <c r="AU140" i="1"/>
  <c r="AT140" i="1"/>
  <c r="AU136" i="1"/>
  <c r="AT136" i="1"/>
  <c r="AU202" i="1"/>
  <c r="AU199" i="1"/>
  <c r="AT199" i="1"/>
  <c r="AU81" i="1"/>
  <c r="AT81" i="1"/>
  <c r="AT88" i="1"/>
  <c r="AU88" i="1"/>
  <c r="AU104" i="1"/>
  <c r="AT104" i="1"/>
  <c r="AU71" i="1"/>
  <c r="AT71" i="1"/>
  <c r="AU126" i="1"/>
  <c r="AT126" i="1"/>
  <c r="AU125" i="1"/>
  <c r="AT125" i="1"/>
  <c r="AU111" i="1"/>
  <c r="AT111" i="1"/>
  <c r="AU102" i="1"/>
  <c r="AT102" i="1"/>
  <c r="AU117" i="1"/>
  <c r="AT117" i="1"/>
  <c r="H112" i="1"/>
  <c r="AU112" i="1"/>
  <c r="AT112" i="1"/>
  <c r="H59" i="1"/>
  <c r="AU59" i="1"/>
  <c r="AT59" i="1"/>
  <c r="AU100" i="1"/>
  <c r="AT100" i="1"/>
  <c r="AU90" i="1"/>
  <c r="AT90" i="1"/>
  <c r="H93" i="1"/>
  <c r="AU93" i="1"/>
  <c r="H38" i="1"/>
  <c r="AU38" i="1"/>
  <c r="AT38" i="1"/>
  <c r="H83" i="1"/>
  <c r="AU83" i="1"/>
  <c r="AT83" i="1"/>
  <c r="AU67" i="1"/>
  <c r="AT67" i="1"/>
  <c r="H75" i="1"/>
  <c r="AT75" i="1"/>
  <c r="H37" i="1"/>
  <c r="AT37" i="1"/>
  <c r="AU37" i="1"/>
  <c r="AU30" i="1"/>
  <c r="AT30" i="1"/>
  <c r="AU56" i="1"/>
  <c r="AT56" i="1"/>
  <c r="H80" i="1"/>
  <c r="AU80" i="1"/>
  <c r="AT80" i="1"/>
  <c r="H35" i="1"/>
  <c r="AU35" i="1"/>
  <c r="AT35" i="1"/>
  <c r="AU86" i="1"/>
  <c r="AT86" i="1"/>
  <c r="AU29" i="1"/>
  <c r="AT29" i="1"/>
  <c r="H14" i="1"/>
  <c r="AU14" i="1"/>
  <c r="AT14" i="1"/>
  <c r="H84" i="1"/>
  <c r="AU84" i="1"/>
  <c r="AT84" i="1"/>
  <c r="AU12" i="1"/>
  <c r="AT12" i="1"/>
  <c r="AU8" i="1"/>
  <c r="AT8" i="1"/>
  <c r="H22" i="1"/>
  <c r="AT22" i="1"/>
  <c r="AU22" i="1"/>
  <c r="H4" i="1"/>
  <c r="AU4" i="1"/>
  <c r="AT4" i="1"/>
  <c r="AR231" i="1"/>
  <c r="AQ231" i="1"/>
  <c r="AR227" i="1"/>
  <c r="AQ227" i="1"/>
  <c r="AR223" i="1"/>
  <c r="AQ223" i="1"/>
  <c r="AR219" i="1"/>
  <c r="AQ219" i="1"/>
  <c r="AR215" i="1"/>
  <c r="AQ215" i="1"/>
  <c r="AR211" i="1"/>
  <c r="AQ211" i="1"/>
  <c r="AR207" i="1"/>
  <c r="AQ207" i="1"/>
  <c r="AR203" i="1"/>
  <c r="AQ203" i="1"/>
  <c r="AR180" i="1"/>
  <c r="AQ180" i="1"/>
  <c r="AR195" i="1"/>
  <c r="AQ195" i="1"/>
  <c r="AR191" i="1"/>
  <c r="AQ191" i="1"/>
  <c r="AR187" i="1"/>
  <c r="AQ187" i="1"/>
  <c r="AR183" i="1"/>
  <c r="AQ183" i="1"/>
  <c r="AR179" i="1"/>
  <c r="AQ179" i="1"/>
  <c r="AR175" i="1"/>
  <c r="AQ175" i="1"/>
  <c r="AR92" i="1"/>
  <c r="AQ92" i="1"/>
  <c r="AR167" i="1"/>
  <c r="AQ167" i="1"/>
  <c r="AR163" i="1"/>
  <c r="AQ163" i="1"/>
  <c r="AR170" i="1"/>
  <c r="AQ170" i="1"/>
  <c r="AR159" i="1"/>
  <c r="AQ159" i="1"/>
  <c r="AR151" i="1"/>
  <c r="AQ151" i="1"/>
  <c r="AR147" i="1"/>
  <c r="AQ147" i="1"/>
  <c r="AR143" i="1"/>
  <c r="AQ143" i="1"/>
  <c r="AR139" i="1"/>
  <c r="AQ139" i="1"/>
  <c r="AR135" i="1"/>
  <c r="AQ135" i="1"/>
  <c r="AR132" i="1"/>
  <c r="AQ132" i="1"/>
  <c r="AR128" i="1"/>
  <c r="AQ128" i="1"/>
  <c r="AR124" i="1"/>
  <c r="AQ124" i="1"/>
  <c r="AR121" i="1"/>
  <c r="AQ121" i="1"/>
  <c r="AR118" i="1"/>
  <c r="AQ118" i="1"/>
  <c r="AR114" i="1"/>
  <c r="AQ114" i="1"/>
  <c r="AR109" i="1"/>
  <c r="AQ109" i="1"/>
  <c r="AR105" i="1"/>
  <c r="AQ105" i="1"/>
  <c r="AR101" i="1"/>
  <c r="AQ101" i="1"/>
  <c r="AR97" i="1"/>
  <c r="AQ97" i="1"/>
  <c r="AR94" i="1"/>
  <c r="AQ94" i="1"/>
  <c r="AR90" i="1"/>
  <c r="AQ90" i="1"/>
  <c r="AR87" i="1"/>
  <c r="AQ87" i="1"/>
  <c r="AR48" i="1"/>
  <c r="AQ48" i="1"/>
  <c r="AR80" i="1"/>
  <c r="AQ80" i="1"/>
  <c r="AR77" i="1"/>
  <c r="AQ77" i="1"/>
  <c r="AR52" i="1"/>
  <c r="AQ52" i="1"/>
  <c r="AR70" i="1"/>
  <c r="AQ70" i="1"/>
  <c r="AR66" i="1"/>
  <c r="AQ66" i="1"/>
  <c r="AR61" i="1"/>
  <c r="AQ61" i="1"/>
  <c r="AR58" i="1"/>
  <c r="AQ58" i="1"/>
  <c r="AR50" i="1"/>
  <c r="AQ50" i="1"/>
  <c r="AP44" i="1"/>
  <c r="AR44" i="1"/>
  <c r="AQ44" i="1"/>
  <c r="AR41" i="1"/>
  <c r="AP41" i="1"/>
  <c r="AQ41" i="1"/>
  <c r="AP36" i="1"/>
  <c r="AR36" i="1"/>
  <c r="AQ36" i="1"/>
  <c r="AR34" i="1"/>
  <c r="AP34" i="1"/>
  <c r="AQ34" i="1"/>
  <c r="AP29" i="1"/>
  <c r="AR29" i="1"/>
  <c r="AQ29" i="1"/>
  <c r="AR19" i="1"/>
  <c r="AP19" i="1"/>
  <c r="AQ19" i="1"/>
  <c r="AP17" i="1"/>
  <c r="AR17" i="1"/>
  <c r="AQ17" i="1"/>
  <c r="AR15" i="1"/>
  <c r="AP15" i="1"/>
  <c r="AQ15" i="1"/>
  <c r="AP11" i="1"/>
  <c r="AR11" i="1"/>
  <c r="AQ11" i="1"/>
  <c r="AR9" i="1"/>
  <c r="AP9" i="1"/>
  <c r="AQ9" i="1"/>
  <c r="AP3" i="1"/>
  <c r="AR3" i="1"/>
  <c r="AQ3" i="1"/>
  <c r="AO229" i="1"/>
  <c r="AO225" i="1"/>
  <c r="AO221" i="1"/>
  <c r="AO217" i="1"/>
  <c r="AO213" i="1"/>
  <c r="AO209" i="1"/>
  <c r="AO205" i="1"/>
  <c r="AO201" i="1"/>
  <c r="AO197" i="1"/>
  <c r="AO193" i="1"/>
  <c r="AO189" i="1"/>
  <c r="AO185" i="1"/>
  <c r="AO181" i="1"/>
  <c r="AO177" i="1"/>
  <c r="AO173" i="1"/>
  <c r="AO169" i="1"/>
  <c r="AO165" i="1"/>
  <c r="AO161" i="1"/>
  <c r="AO157" i="1"/>
  <c r="AO153" i="1"/>
  <c r="AO149" i="1"/>
  <c r="AO145" i="1"/>
  <c r="AO141" i="1"/>
  <c r="AO137" i="1"/>
  <c r="AO155" i="1"/>
  <c r="AO130" i="1"/>
  <c r="AO126" i="1"/>
  <c r="AO122" i="1"/>
  <c r="AO120" i="1"/>
  <c r="AO116" i="1"/>
  <c r="AO112" i="1"/>
  <c r="AO107" i="1"/>
  <c r="AO103" i="1"/>
  <c r="AO99" i="1"/>
  <c r="AO96" i="1"/>
  <c r="AO91" i="1"/>
  <c r="AO88" i="1"/>
  <c r="AO84" i="1"/>
  <c r="AO73" i="1"/>
  <c r="AO64" i="1"/>
  <c r="AO75" i="1"/>
  <c r="AO72" i="1"/>
  <c r="AO68" i="1"/>
  <c r="AO63" i="1"/>
  <c r="AO60" i="1"/>
  <c r="AO54" i="1"/>
  <c r="AO47" i="1"/>
  <c r="AO39" i="1"/>
  <c r="AO37" i="1"/>
  <c r="AO28" i="1"/>
  <c r="AO31" i="1"/>
  <c r="AO25" i="1"/>
  <c r="AO22" i="1"/>
  <c r="AO16" i="1"/>
  <c r="AO12" i="1"/>
  <c r="AO7" i="1"/>
  <c r="AO5" i="1"/>
  <c r="AP231" i="1"/>
  <c r="AP227" i="1"/>
  <c r="AP223" i="1"/>
  <c r="AP219" i="1"/>
  <c r="AP215" i="1"/>
  <c r="AP211" i="1"/>
  <c r="AP207" i="1"/>
  <c r="AP203" i="1"/>
  <c r="AP180" i="1"/>
  <c r="AP195" i="1"/>
  <c r="AP191" i="1"/>
  <c r="AP187" i="1"/>
  <c r="AP183" i="1"/>
  <c r="AP179" i="1"/>
  <c r="AP175" i="1"/>
  <c r="AP92" i="1"/>
  <c r="AP167" i="1"/>
  <c r="AP163" i="1"/>
  <c r="AP170" i="1"/>
  <c r="AP159" i="1"/>
  <c r="AP151" i="1"/>
  <c r="AP147" i="1"/>
  <c r="AP143" i="1"/>
  <c r="AP139" i="1"/>
  <c r="AP135" i="1"/>
  <c r="AP132" i="1"/>
  <c r="AP128" i="1"/>
  <c r="AP124" i="1"/>
  <c r="AP121" i="1"/>
  <c r="AP118" i="1"/>
  <c r="AP114" i="1"/>
  <c r="AP109" i="1"/>
  <c r="AP105" i="1"/>
  <c r="AP101" i="1"/>
  <c r="AP97" i="1"/>
  <c r="AP94" i="1"/>
  <c r="AP90" i="1"/>
  <c r="AP87" i="1"/>
  <c r="AP74" i="1"/>
  <c r="AP76" i="1"/>
  <c r="AP69" i="1"/>
  <c r="AP56" i="1"/>
  <c r="AP49" i="1"/>
  <c r="AS49" i="1" s="1"/>
  <c r="AP33" i="1"/>
  <c r="AP14" i="1"/>
  <c r="AS14" i="1" s="1"/>
  <c r="AQ228" i="1"/>
  <c r="AQ212" i="1"/>
  <c r="AQ196" i="1"/>
  <c r="AQ182" i="1"/>
  <c r="AQ164" i="1"/>
  <c r="AQ148" i="1"/>
  <c r="AQ133" i="1"/>
  <c r="AQ119" i="1"/>
  <c r="AQ102" i="1"/>
  <c r="AQ86" i="1"/>
  <c r="AQ46" i="1"/>
  <c r="AQ59" i="1"/>
  <c r="AQ32" i="1"/>
  <c r="AQ21" i="1"/>
  <c r="AQ4" i="1"/>
  <c r="AR218" i="1"/>
  <c r="AR202" i="1"/>
  <c r="AR186" i="1"/>
  <c r="AR171" i="1"/>
  <c r="AR154" i="1"/>
  <c r="AR138" i="1"/>
  <c r="AR123" i="1"/>
  <c r="AR108" i="1"/>
  <c r="AR93" i="1"/>
  <c r="AR79" i="1"/>
  <c r="AS79" i="1" s="1"/>
  <c r="AR65" i="1"/>
  <c r="AS65" i="1" s="1"/>
  <c r="AR33" i="1"/>
  <c r="AS33" i="1" s="1"/>
  <c r="AT186" i="1"/>
  <c r="AT123" i="1"/>
  <c r="AT65" i="1"/>
  <c r="AU224" i="1"/>
  <c r="AU160" i="1"/>
  <c r="H222" i="1"/>
  <c r="AU222" i="1"/>
  <c r="AT222" i="1"/>
  <c r="H210" i="1"/>
  <c r="AU210" i="1"/>
  <c r="AT210" i="1"/>
  <c r="AU194" i="1"/>
  <c r="AT194" i="1"/>
  <c r="AU174" i="1"/>
  <c r="AT174" i="1"/>
  <c r="AU166" i="1"/>
  <c r="AT166" i="1"/>
  <c r="AT170" i="1"/>
  <c r="AU170" i="1"/>
  <c r="AU64" i="1"/>
  <c r="AT64" i="1"/>
  <c r="AU98" i="1"/>
  <c r="AT98" i="1"/>
  <c r="AU76" i="1"/>
  <c r="AT76" i="1"/>
  <c r="AU19" i="1"/>
  <c r="AT19" i="1"/>
  <c r="H231" i="1"/>
  <c r="AT231" i="1"/>
  <c r="AU231" i="1"/>
  <c r="H227" i="1"/>
  <c r="AT227" i="1"/>
  <c r="AU227" i="1"/>
  <c r="H223" i="1"/>
  <c r="AT223" i="1"/>
  <c r="AU223" i="1"/>
  <c r="H219" i="1"/>
  <c r="AT219" i="1"/>
  <c r="AU219" i="1"/>
  <c r="H215" i="1"/>
  <c r="AT215" i="1"/>
  <c r="AU215" i="1"/>
  <c r="H211" i="1"/>
  <c r="AT211" i="1"/>
  <c r="AU211" i="1"/>
  <c r="H207" i="1"/>
  <c r="AT207" i="1"/>
  <c r="AU207" i="1"/>
  <c r="H203" i="1"/>
  <c r="AT203" i="1"/>
  <c r="AU203" i="1"/>
  <c r="AT195" i="1"/>
  <c r="AU195" i="1"/>
  <c r="AT191" i="1"/>
  <c r="AU191" i="1"/>
  <c r="AT187" i="1"/>
  <c r="AU187" i="1"/>
  <c r="AT183" i="1"/>
  <c r="AU183" i="1"/>
  <c r="AT179" i="1"/>
  <c r="AU179" i="1"/>
  <c r="AT175" i="1"/>
  <c r="AU175" i="1"/>
  <c r="AT92" i="1"/>
  <c r="AU92" i="1"/>
  <c r="AT167" i="1"/>
  <c r="AU167" i="1"/>
  <c r="AT163" i="1"/>
  <c r="AU163" i="1"/>
  <c r="AU51" i="1"/>
  <c r="AT51" i="1"/>
  <c r="AU128" i="1"/>
  <c r="AT128" i="1"/>
  <c r="AU151" i="1"/>
  <c r="AT151" i="1"/>
  <c r="AU147" i="1"/>
  <c r="AT147" i="1"/>
  <c r="AU143" i="1"/>
  <c r="AT143" i="1"/>
  <c r="AU139" i="1"/>
  <c r="AT139" i="1"/>
  <c r="AU135" i="1"/>
  <c r="AT135" i="1"/>
  <c r="AT180" i="1"/>
  <c r="AU180" i="1"/>
  <c r="AU54" i="1"/>
  <c r="AT54" i="1"/>
  <c r="AU133" i="1"/>
  <c r="AT133" i="1"/>
  <c r="AU72" i="1"/>
  <c r="AT72" i="1"/>
  <c r="AU130" i="1"/>
  <c r="AT130" i="1"/>
  <c r="AU101" i="1"/>
  <c r="AT101" i="1"/>
  <c r="AU55" i="1"/>
  <c r="AT55" i="1"/>
  <c r="AU132" i="1"/>
  <c r="AT132" i="1"/>
  <c r="AU116" i="1"/>
  <c r="AT116" i="1"/>
  <c r="AU119" i="1"/>
  <c r="AT119" i="1"/>
  <c r="AU99" i="1"/>
  <c r="AT99" i="1"/>
  <c r="AU95" i="1"/>
  <c r="AT95" i="1"/>
  <c r="AU105" i="1"/>
  <c r="AT105" i="1"/>
  <c r="AU32" i="1"/>
  <c r="AT32" i="1"/>
  <c r="AU48" i="1"/>
  <c r="AT48" i="1"/>
  <c r="AU68" i="1"/>
  <c r="AT68" i="1"/>
  <c r="AU63" i="1"/>
  <c r="AT63" i="1"/>
  <c r="AU47" i="1"/>
  <c r="AT47" i="1"/>
  <c r="AU45" i="1"/>
  <c r="AT45" i="1"/>
  <c r="AU31" i="1"/>
  <c r="AT31" i="1"/>
  <c r="AU20" i="1"/>
  <c r="AT20" i="1"/>
  <c r="AU34" i="1"/>
  <c r="AT34" i="1"/>
  <c r="AU49" i="1"/>
  <c r="AT49" i="1"/>
  <c r="AU91" i="1"/>
  <c r="AT91" i="1"/>
  <c r="AU13" i="1"/>
  <c r="AT13" i="1"/>
  <c r="AU7" i="1"/>
  <c r="AT7" i="1"/>
  <c r="AU16" i="1"/>
  <c r="AT16" i="1"/>
  <c r="H3" i="1"/>
  <c r="AU3" i="1"/>
  <c r="AT3" i="1"/>
  <c r="AR57" i="1"/>
  <c r="AQ57" i="1"/>
  <c r="AR42" i="1"/>
  <c r="AQ42" i="1"/>
  <c r="AR35" i="1"/>
  <c r="AQ35" i="1"/>
  <c r="AR27" i="1"/>
  <c r="AQ27" i="1"/>
  <c r="AR20" i="1"/>
  <c r="AQ20" i="1"/>
  <c r="AR10" i="1"/>
  <c r="AQ10" i="1"/>
  <c r="AO232" i="1"/>
  <c r="AO228" i="1"/>
  <c r="AO224" i="1"/>
  <c r="AO220" i="1"/>
  <c r="AO216" i="1"/>
  <c r="AO212" i="1"/>
  <c r="AO208" i="1"/>
  <c r="AO204" i="1"/>
  <c r="AO200" i="1"/>
  <c r="AO196" i="1"/>
  <c r="AO192" i="1"/>
  <c r="AO188" i="1"/>
  <c r="AO184" i="1"/>
  <c r="AO182" i="1"/>
  <c r="AO176" i="1"/>
  <c r="AO172" i="1"/>
  <c r="AO168" i="1"/>
  <c r="AO164" i="1"/>
  <c r="AO160" i="1"/>
  <c r="AO156" i="1"/>
  <c r="AO152" i="1"/>
  <c r="AO148" i="1"/>
  <c r="AO144" i="1"/>
  <c r="AO140" i="1"/>
  <c r="AO136" i="1"/>
  <c r="AO133" i="1"/>
  <c r="AO129" i="1"/>
  <c r="AO125" i="1"/>
  <c r="AO55" i="1"/>
  <c r="AO119" i="1"/>
  <c r="AO115" i="1"/>
  <c r="AO110" i="1"/>
  <c r="AO106" i="1"/>
  <c r="AO102" i="1"/>
  <c r="AO98" i="1"/>
  <c r="AO95" i="1"/>
  <c r="AO43" i="1"/>
  <c r="AO86" i="1"/>
  <c r="AO83" i="1"/>
  <c r="AO82" i="1"/>
  <c r="AO78" i="1"/>
  <c r="AO46" i="1"/>
  <c r="AO71" i="1"/>
  <c r="AO67" i="1"/>
  <c r="AO62" i="1"/>
  <c r="AO59" i="1"/>
  <c r="AO53" i="1"/>
  <c r="AO45" i="1"/>
  <c r="AO38" i="1"/>
  <c r="AO32" i="1"/>
  <c r="AO26" i="1"/>
  <c r="AO30" i="1"/>
  <c r="AO24" i="1"/>
  <c r="AO21" i="1"/>
  <c r="AO18" i="1"/>
  <c r="AO13" i="1"/>
  <c r="AO8" i="1"/>
  <c r="AO4" i="1"/>
  <c r="AP230" i="1"/>
  <c r="AP226" i="1"/>
  <c r="AP222" i="1"/>
  <c r="AP218" i="1"/>
  <c r="AP214" i="1"/>
  <c r="AP210" i="1"/>
  <c r="AP206" i="1"/>
  <c r="AP202" i="1"/>
  <c r="AP198" i="1"/>
  <c r="AP194" i="1"/>
  <c r="AP190" i="1"/>
  <c r="AP186" i="1"/>
  <c r="AP199" i="1"/>
  <c r="AP178" i="1"/>
  <c r="AP174" i="1"/>
  <c r="AP171" i="1"/>
  <c r="AP166" i="1"/>
  <c r="AP162" i="1"/>
  <c r="AP158" i="1"/>
  <c r="AP154" i="1"/>
  <c r="AP150" i="1"/>
  <c r="AP146" i="1"/>
  <c r="AP142" i="1"/>
  <c r="AP138" i="1"/>
  <c r="AP134" i="1"/>
  <c r="AP131" i="1"/>
  <c r="AP127" i="1"/>
  <c r="AP123" i="1"/>
  <c r="AP111" i="1"/>
  <c r="AP117" i="1"/>
  <c r="AP113" i="1"/>
  <c r="AP108" i="1"/>
  <c r="AP104" i="1"/>
  <c r="AP100" i="1"/>
  <c r="AP81" i="1"/>
  <c r="AP93" i="1"/>
  <c r="AP89" i="1"/>
  <c r="AP85" i="1"/>
  <c r="AP80" i="1"/>
  <c r="AP52" i="1"/>
  <c r="AP66" i="1"/>
  <c r="AP58" i="1"/>
  <c r="AP42" i="1"/>
  <c r="AP27" i="1"/>
  <c r="AP10" i="1"/>
  <c r="AQ224" i="1"/>
  <c r="AQ208" i="1"/>
  <c r="AQ192" i="1"/>
  <c r="AQ176" i="1"/>
  <c r="AS176" i="1" s="1"/>
  <c r="AQ160" i="1"/>
  <c r="AQ144" i="1"/>
  <c r="AQ129" i="1"/>
  <c r="AQ115" i="1"/>
  <c r="AS115" i="1" s="1"/>
  <c r="AQ98" i="1"/>
  <c r="AQ83" i="1"/>
  <c r="AQ71" i="1"/>
  <c r="AQ53" i="1"/>
  <c r="AQ26" i="1"/>
  <c r="AQ18" i="1"/>
  <c r="AR230" i="1"/>
  <c r="AR214" i="1"/>
  <c r="AS214" i="1" s="1"/>
  <c r="AR198" i="1"/>
  <c r="AR199" i="1"/>
  <c r="AR166" i="1"/>
  <c r="AR150" i="1"/>
  <c r="AS150" i="1" s="1"/>
  <c r="AR134" i="1"/>
  <c r="AR111" i="1"/>
  <c r="AR104" i="1"/>
  <c r="AR89" i="1"/>
  <c r="AS89" i="1" s="1"/>
  <c r="AR76" i="1"/>
  <c r="AS76" i="1" s="1"/>
  <c r="AR56" i="1"/>
  <c r="AS56" i="1" s="1"/>
  <c r="AR23" i="1"/>
  <c r="AT171" i="1"/>
  <c r="AT108" i="1"/>
  <c r="AT42" i="1"/>
  <c r="AU208" i="1"/>
  <c r="AU155" i="1"/>
  <c r="Y187" i="1"/>
  <c r="Z169" i="1"/>
  <c r="X133" i="1"/>
  <c r="AJ223" i="1"/>
  <c r="AJ207" i="1"/>
  <c r="AL136" i="1"/>
  <c r="AL217" i="1"/>
  <c r="AL225" i="1"/>
  <c r="AL209" i="1"/>
  <c r="AJ231" i="1"/>
  <c r="AJ215" i="1"/>
  <c r="AK198" i="1"/>
  <c r="AL191" i="1"/>
  <c r="AL176" i="1"/>
  <c r="AJ173" i="1"/>
  <c r="Y128" i="1"/>
  <c r="AJ227" i="1"/>
  <c r="AJ219" i="1"/>
  <c r="AJ211" i="1"/>
  <c r="AJ203" i="1"/>
  <c r="AJ141" i="1"/>
  <c r="Z223" i="1"/>
  <c r="AL229" i="1"/>
  <c r="AL221" i="1"/>
  <c r="AL213" i="1"/>
  <c r="AL205" i="1"/>
  <c r="AL196" i="1"/>
  <c r="AL5" i="1"/>
  <c r="AL144" i="1"/>
  <c r="AK230" i="1"/>
  <c r="AK226" i="1"/>
  <c r="AK222" i="1"/>
  <c r="AK218" i="1"/>
  <c r="AK214" i="1"/>
  <c r="AK210" i="1"/>
  <c r="AK206" i="1"/>
  <c r="AK5" i="1"/>
  <c r="AL195" i="1"/>
  <c r="AL193" i="1"/>
  <c r="AI137" i="1"/>
  <c r="AL231" i="1"/>
  <c r="AL227" i="1"/>
  <c r="AL223" i="1"/>
  <c r="AL219" i="1"/>
  <c r="AL215" i="1"/>
  <c r="AL211" i="1"/>
  <c r="AL207" i="1"/>
  <c r="AL203" i="1"/>
  <c r="AJ5" i="1"/>
  <c r="AK195" i="1"/>
  <c r="AL160" i="1"/>
  <c r="AJ157" i="1"/>
  <c r="H193" i="1"/>
  <c r="H185" i="1"/>
  <c r="H153" i="1"/>
  <c r="H200" i="1"/>
  <c r="H196" i="1"/>
  <c r="H192" i="1"/>
  <c r="H188" i="1"/>
  <c r="H184" i="1"/>
  <c r="H121" i="1"/>
  <c r="H176" i="1"/>
  <c r="H172" i="1"/>
  <c r="H168" i="1"/>
  <c r="H164" i="1"/>
  <c r="H160" i="1"/>
  <c r="H156" i="1"/>
  <c r="H152" i="1"/>
  <c r="H148" i="1"/>
  <c r="H144" i="1"/>
  <c r="H140" i="1"/>
  <c r="H136" i="1"/>
  <c r="H202" i="1"/>
  <c r="H199" i="1"/>
  <c r="H81" i="1"/>
  <c r="H88" i="1"/>
  <c r="H104" i="1"/>
  <c r="H71" i="1"/>
  <c r="H126" i="1"/>
  <c r="H125" i="1"/>
  <c r="H111" i="1"/>
  <c r="H5" i="1"/>
  <c r="H195" i="1"/>
  <c r="H191" i="1"/>
  <c r="H187" i="1"/>
  <c r="H183" i="1"/>
  <c r="H179" i="1"/>
  <c r="H175" i="1"/>
  <c r="H92" i="1"/>
  <c r="H167" i="1"/>
  <c r="H163" i="1"/>
  <c r="H51" i="1"/>
  <c r="H128" i="1"/>
  <c r="H151" i="1"/>
  <c r="H147" i="1"/>
  <c r="H143" i="1"/>
  <c r="H139" i="1"/>
  <c r="H135" i="1"/>
  <c r="H180" i="1"/>
  <c r="H54" i="1"/>
  <c r="H171" i="1"/>
  <c r="H133" i="1"/>
  <c r="H72" i="1"/>
  <c r="H101" i="1"/>
  <c r="H132" i="1"/>
  <c r="H116" i="1"/>
  <c r="H119" i="1"/>
  <c r="H79" i="1"/>
  <c r="H108" i="1"/>
  <c r="H99" i="1"/>
  <c r="H95" i="1"/>
  <c r="H105" i="1"/>
  <c r="H32" i="1"/>
  <c r="H48" i="1"/>
  <c r="H68" i="1"/>
  <c r="H63" i="1"/>
  <c r="H47" i="1"/>
  <c r="H45" i="1"/>
  <c r="H31" i="1"/>
  <c r="H20" i="1"/>
  <c r="H34" i="1"/>
  <c r="H49" i="1"/>
  <c r="H27" i="1"/>
  <c r="H91" i="1"/>
  <c r="H13" i="1"/>
  <c r="H10" i="1"/>
  <c r="H7" i="1"/>
  <c r="H16" i="1"/>
  <c r="H198" i="1"/>
  <c r="H194" i="1"/>
  <c r="H186" i="1"/>
  <c r="H60" i="1"/>
  <c r="H174" i="1"/>
  <c r="H129" i="1"/>
  <c r="H162" i="1"/>
  <c r="H158" i="1"/>
  <c r="H154" i="1"/>
  <c r="H150" i="1"/>
  <c r="H142" i="1"/>
  <c r="H138" i="1"/>
  <c r="H103" i="1"/>
  <c r="H53" i="1"/>
  <c r="H106" i="1"/>
  <c r="H64" i="1"/>
  <c r="H124" i="1"/>
  <c r="H122" i="1"/>
  <c r="H43" i="1"/>
  <c r="H78" i="1"/>
  <c r="H114" i="1"/>
  <c r="H98" i="1"/>
  <c r="H77" i="1"/>
  <c r="H76" i="1"/>
  <c r="H50" i="1"/>
  <c r="H189" i="1"/>
  <c r="H173" i="1"/>
  <c r="H165" i="1"/>
  <c r="H149" i="1"/>
  <c r="H137" i="1"/>
  <c r="H155" i="1"/>
  <c r="H131" i="1"/>
  <c r="H123" i="1"/>
  <c r="H39" i="1"/>
  <c r="H96" i="1"/>
  <c r="H115" i="1"/>
  <c r="H113" i="1"/>
  <c r="H21" i="1"/>
  <c r="H94" i="1"/>
  <c r="H58" i="1"/>
  <c r="H44" i="1"/>
  <c r="H69" i="1"/>
  <c r="H46" i="1"/>
  <c r="H41" i="1"/>
  <c r="H28" i="1"/>
  <c r="H61" i="1"/>
  <c r="H26" i="1"/>
  <c r="H33" i="1"/>
  <c r="H23" i="1"/>
  <c r="H24" i="1"/>
  <c r="H85" i="1"/>
  <c r="H42" i="1"/>
  <c r="H11" i="1"/>
  <c r="H15" i="1"/>
  <c r="H6" i="1"/>
  <c r="AL197" i="1"/>
  <c r="AI196" i="1"/>
  <c r="AL181" i="1"/>
  <c r="AL168" i="1"/>
  <c r="AJ165" i="1"/>
  <c r="AL152" i="1"/>
  <c r="AJ149" i="1"/>
  <c r="AK140" i="1"/>
  <c r="AL198" i="1"/>
  <c r="AK197" i="1"/>
  <c r="AL194" i="1"/>
  <c r="AL192" i="1"/>
  <c r="AK190" i="1"/>
  <c r="AJ183" i="1"/>
  <c r="AH233" i="1"/>
  <c r="AK52" i="1"/>
  <c r="AI198" i="1"/>
  <c r="AI197" i="1"/>
  <c r="AJ195" i="1"/>
  <c r="AK194" i="1"/>
  <c r="AK193" i="1"/>
  <c r="AI192" i="1"/>
  <c r="AK191" i="1"/>
  <c r="AL188" i="1"/>
  <c r="AL184" i="1"/>
  <c r="AI194" i="1"/>
  <c r="AI193" i="1"/>
  <c r="AJ191" i="1"/>
  <c r="AJ188" i="1"/>
  <c r="AL185" i="1"/>
  <c r="AJ184" i="1"/>
  <c r="AK60" i="1"/>
  <c r="AK121" i="1"/>
  <c r="AI177" i="1"/>
  <c r="AK172" i="1"/>
  <c r="AI169" i="1"/>
  <c r="AK164" i="1"/>
  <c r="AI161" i="1"/>
  <c r="AK156" i="1"/>
  <c r="AI153" i="1"/>
  <c r="AK148" i="1"/>
  <c r="AI145" i="1"/>
  <c r="AL201" i="1"/>
  <c r="AL189" i="1"/>
  <c r="AI185" i="1"/>
  <c r="AL232" i="1"/>
  <c r="AI231" i="1"/>
  <c r="AI230" i="1"/>
  <c r="AK229" i="1"/>
  <c r="AL228" i="1"/>
  <c r="AI227" i="1"/>
  <c r="AI226" i="1"/>
  <c r="AK225" i="1"/>
  <c r="AL224" i="1"/>
  <c r="AI223" i="1"/>
  <c r="AI222" i="1"/>
  <c r="AK221" i="1"/>
  <c r="AL220" i="1"/>
  <c r="AI219" i="1"/>
  <c r="AI218" i="1"/>
  <c r="AK217" i="1"/>
  <c r="AL216" i="1"/>
  <c r="AI215" i="1"/>
  <c r="AI214" i="1"/>
  <c r="AK213" i="1"/>
  <c r="AL212" i="1"/>
  <c r="AI211" i="1"/>
  <c r="AI210" i="1"/>
  <c r="AK209" i="1"/>
  <c r="AL208" i="1"/>
  <c r="AI207" i="1"/>
  <c r="AI206" i="1"/>
  <c r="AK205" i="1"/>
  <c r="AL204" i="1"/>
  <c r="AI203" i="1"/>
  <c r="AI52" i="1"/>
  <c r="AK201" i="1"/>
  <c r="AL200" i="1"/>
  <c r="AK196" i="1"/>
  <c r="AK192" i="1"/>
  <c r="AI189" i="1"/>
  <c r="AJ185" i="1"/>
  <c r="AK184" i="1"/>
  <c r="AI181" i="1"/>
  <c r="AJ121" i="1"/>
  <c r="AL177" i="1"/>
  <c r="AJ176" i="1"/>
  <c r="AK174" i="1"/>
  <c r="AI173" i="1"/>
  <c r="AJ172" i="1"/>
  <c r="AL169" i="1"/>
  <c r="AJ168" i="1"/>
  <c r="AK166" i="1"/>
  <c r="AI165" i="1"/>
  <c r="AJ164" i="1"/>
  <c r="AL161" i="1"/>
  <c r="AJ160" i="1"/>
  <c r="AK158" i="1"/>
  <c r="AI157" i="1"/>
  <c r="AJ156" i="1"/>
  <c r="AL153" i="1"/>
  <c r="AJ152" i="1"/>
  <c r="AK150" i="1"/>
  <c r="AI149" i="1"/>
  <c r="AJ148" i="1"/>
  <c r="AL145" i="1"/>
  <c r="AJ144" i="1"/>
  <c r="AK142" i="1"/>
  <c r="AI141" i="1"/>
  <c r="AJ140" i="1"/>
  <c r="AL137" i="1"/>
  <c r="AJ136" i="1"/>
  <c r="AL134" i="1"/>
  <c r="AI115" i="1"/>
  <c r="AK232" i="1"/>
  <c r="AJ229" i="1"/>
  <c r="AK228" i="1"/>
  <c r="AJ225" i="1"/>
  <c r="AK224" i="1"/>
  <c r="AJ221" i="1"/>
  <c r="AK220" i="1"/>
  <c r="AJ217" i="1"/>
  <c r="AK216" i="1"/>
  <c r="AJ213" i="1"/>
  <c r="AK212" i="1"/>
  <c r="AJ209" i="1"/>
  <c r="AK208" i="1"/>
  <c r="AJ205" i="1"/>
  <c r="AK204" i="1"/>
  <c r="AJ201" i="1"/>
  <c r="AK200" i="1"/>
  <c r="AK134" i="1"/>
  <c r="AI232" i="1"/>
  <c r="AL230" i="1"/>
  <c r="AI228" i="1"/>
  <c r="AL226" i="1"/>
  <c r="AI224" i="1"/>
  <c r="AL222" i="1"/>
  <c r="AI220" i="1"/>
  <c r="AL218" i="1"/>
  <c r="AI216" i="1"/>
  <c r="AL214" i="1"/>
  <c r="AI212" i="1"/>
  <c r="AL210" i="1"/>
  <c r="AI208" i="1"/>
  <c r="AL206" i="1"/>
  <c r="AI204" i="1"/>
  <c r="AL52" i="1"/>
  <c r="AI200" i="1"/>
  <c r="AL121" i="1"/>
  <c r="AJ175" i="1"/>
  <c r="AL173" i="1"/>
  <c r="AL172" i="1"/>
  <c r="AJ167" i="1"/>
  <c r="AL165" i="1"/>
  <c r="AL164" i="1"/>
  <c r="AJ51" i="1"/>
  <c r="AL157" i="1"/>
  <c r="AL156" i="1"/>
  <c r="AJ151" i="1"/>
  <c r="AL149" i="1"/>
  <c r="AL148" i="1"/>
  <c r="AJ143" i="1"/>
  <c r="AL141" i="1"/>
  <c r="AL140" i="1"/>
  <c r="AJ135" i="1"/>
  <c r="AJ134" i="1"/>
  <c r="AL190" i="1"/>
  <c r="AI187" i="1"/>
  <c r="AJ186" i="1"/>
  <c r="AL183" i="1"/>
  <c r="AL60" i="1"/>
  <c r="AI179" i="1"/>
  <c r="AJ178" i="1"/>
  <c r="AJ177" i="1"/>
  <c r="AK176" i="1"/>
  <c r="AL175" i="1"/>
  <c r="AL174" i="1"/>
  <c r="AI92" i="1"/>
  <c r="AJ129" i="1"/>
  <c r="AJ169" i="1"/>
  <c r="AK168" i="1"/>
  <c r="AL167" i="1"/>
  <c r="AL166" i="1"/>
  <c r="AI163" i="1"/>
  <c r="AJ162" i="1"/>
  <c r="AJ161" i="1"/>
  <c r="AK160" i="1"/>
  <c r="AL51" i="1"/>
  <c r="AL158" i="1"/>
  <c r="AI128" i="1"/>
  <c r="AJ154" i="1"/>
  <c r="AJ153" i="1"/>
  <c r="AK152" i="1"/>
  <c r="AL151" i="1"/>
  <c r="AL150" i="1"/>
  <c r="AI147" i="1"/>
  <c r="AJ146" i="1"/>
  <c r="AJ145" i="1"/>
  <c r="AK144" i="1"/>
  <c r="AL143" i="1"/>
  <c r="AL142" i="1"/>
  <c r="AI139" i="1"/>
  <c r="AJ138" i="1"/>
  <c r="AJ137" i="1"/>
  <c r="AK136" i="1"/>
  <c r="AL135" i="1"/>
  <c r="AJ190" i="1"/>
  <c r="AJ189" i="1"/>
  <c r="AK188" i="1"/>
  <c r="AL187" i="1"/>
  <c r="AL186" i="1"/>
  <c r="AI183" i="1"/>
  <c r="AJ60" i="1"/>
  <c r="AJ181" i="1"/>
  <c r="AL179" i="1"/>
  <c r="AL178" i="1"/>
  <c r="AI175" i="1"/>
  <c r="AJ174" i="1"/>
  <c r="AL92" i="1"/>
  <c r="AL129" i="1"/>
  <c r="AI167" i="1"/>
  <c r="AJ166" i="1"/>
  <c r="AL163" i="1"/>
  <c r="AL162" i="1"/>
  <c r="AI51" i="1"/>
  <c r="AJ158" i="1"/>
  <c r="AL128" i="1"/>
  <c r="AL154" i="1"/>
  <c r="AI151" i="1"/>
  <c r="AJ150" i="1"/>
  <c r="AL147" i="1"/>
  <c r="AL146" i="1"/>
  <c r="AI143" i="1"/>
  <c r="AJ142" i="1"/>
  <c r="AL139" i="1"/>
  <c r="AL138" i="1"/>
  <c r="AI135" i="1"/>
  <c r="AJ187" i="1"/>
  <c r="AK186" i="1"/>
  <c r="AJ179" i="1"/>
  <c r="AK178" i="1"/>
  <c r="AJ92" i="1"/>
  <c r="AK129" i="1"/>
  <c r="AJ163" i="1"/>
  <c r="AK162" i="1"/>
  <c r="AJ128" i="1"/>
  <c r="AK154" i="1"/>
  <c r="AJ147" i="1"/>
  <c r="AK146" i="1"/>
  <c r="AJ139" i="1"/>
  <c r="AK138" i="1"/>
  <c r="AI111" i="1"/>
  <c r="AI106" i="1"/>
  <c r="AK85" i="1"/>
  <c r="AL182" i="1"/>
  <c r="AK182" i="1"/>
  <c r="AL81" i="1"/>
  <c r="AK81" i="1"/>
  <c r="AK155" i="1"/>
  <c r="AL155" i="1"/>
  <c r="AL127" i="1"/>
  <c r="AK127" i="1"/>
  <c r="AL123" i="1"/>
  <c r="AK123" i="1"/>
  <c r="AL132" i="1"/>
  <c r="AK132" i="1"/>
  <c r="AL117" i="1"/>
  <c r="AK117" i="1"/>
  <c r="AL109" i="1"/>
  <c r="AK109" i="1"/>
  <c r="AL105" i="1"/>
  <c r="AK105" i="1"/>
  <c r="AK99" i="1"/>
  <c r="AL99" i="1"/>
  <c r="AL94" i="1"/>
  <c r="AK94" i="1"/>
  <c r="AK90" i="1"/>
  <c r="AL90" i="1"/>
  <c r="AK87" i="1"/>
  <c r="AL87" i="1"/>
  <c r="AK48" i="1"/>
  <c r="AL48" i="1"/>
  <c r="AK77" i="1"/>
  <c r="AL77" i="1"/>
  <c r="AK72" i="1"/>
  <c r="AL72" i="1"/>
  <c r="AJ72" i="1"/>
  <c r="AK69" i="1"/>
  <c r="AJ69" i="1"/>
  <c r="AL69" i="1"/>
  <c r="AK65" i="1"/>
  <c r="AJ65" i="1"/>
  <c r="AL65" i="1"/>
  <c r="AK56" i="1"/>
  <c r="AL56" i="1"/>
  <c r="AJ56" i="1"/>
  <c r="AK57" i="1"/>
  <c r="AL57" i="1"/>
  <c r="AJ57" i="1"/>
  <c r="AK45" i="1"/>
  <c r="AJ45" i="1"/>
  <c r="AL45" i="1"/>
  <c r="AK38" i="1"/>
  <c r="AJ38" i="1"/>
  <c r="AK36" i="1"/>
  <c r="AL36" i="1"/>
  <c r="AJ36" i="1"/>
  <c r="AK17" i="1"/>
  <c r="AL17" i="1"/>
  <c r="AJ17" i="1"/>
  <c r="AK31" i="1"/>
  <c r="AJ31" i="1"/>
  <c r="AL31" i="1"/>
  <c r="AK25" i="1"/>
  <c r="AJ25" i="1"/>
  <c r="AL25" i="1"/>
  <c r="AK22" i="1"/>
  <c r="AL22" i="1"/>
  <c r="AJ22" i="1"/>
  <c r="AK13" i="1"/>
  <c r="AL13" i="1"/>
  <c r="AJ13" i="1"/>
  <c r="AK9" i="1"/>
  <c r="AJ9" i="1"/>
  <c r="AL9" i="1"/>
  <c r="AK6" i="1"/>
  <c r="AJ6" i="1"/>
  <c r="AI53" i="1"/>
  <c r="AI159" i="1"/>
  <c r="AI94" i="1"/>
  <c r="AI87" i="1"/>
  <c r="AI82" i="1"/>
  <c r="AI72" i="1"/>
  <c r="AI65" i="1"/>
  <c r="AI57" i="1"/>
  <c r="AI38" i="1"/>
  <c r="AI17" i="1"/>
  <c r="AI25" i="1"/>
  <c r="AI13" i="1"/>
  <c r="AI6" i="1"/>
  <c r="AJ182" i="1"/>
  <c r="AJ155" i="1"/>
  <c r="AJ123" i="1"/>
  <c r="AJ117" i="1"/>
  <c r="AJ109" i="1"/>
  <c r="AJ99" i="1"/>
  <c r="AJ90" i="1"/>
  <c r="AJ48" i="1"/>
  <c r="AJ77" i="1"/>
  <c r="AL38" i="1"/>
  <c r="AL202" i="1"/>
  <c r="AK202" i="1"/>
  <c r="AL199" i="1"/>
  <c r="AK199" i="1"/>
  <c r="AL171" i="1"/>
  <c r="AK171" i="1"/>
  <c r="AL133" i="1"/>
  <c r="AK133" i="1"/>
  <c r="AL126" i="1"/>
  <c r="AK126" i="1"/>
  <c r="AL122" i="1"/>
  <c r="AK122" i="1"/>
  <c r="AL120" i="1"/>
  <c r="AK120" i="1"/>
  <c r="AL102" i="1"/>
  <c r="AK102" i="1"/>
  <c r="AL113" i="1"/>
  <c r="AK113" i="1"/>
  <c r="AL108" i="1"/>
  <c r="AK108" i="1"/>
  <c r="AL104" i="1"/>
  <c r="AK104" i="1"/>
  <c r="AL98" i="1"/>
  <c r="AK98" i="1"/>
  <c r="AL93" i="1"/>
  <c r="AK93" i="1"/>
  <c r="AL89" i="1"/>
  <c r="AK89" i="1"/>
  <c r="AL74" i="1"/>
  <c r="AK74" i="1"/>
  <c r="AL80" i="1"/>
  <c r="AK80" i="1"/>
  <c r="AL76" i="1"/>
  <c r="AK76" i="1"/>
  <c r="AL71" i="1"/>
  <c r="AK71" i="1"/>
  <c r="AL67" i="1"/>
  <c r="AK67" i="1"/>
  <c r="AJ67" i="1"/>
  <c r="AL63" i="1"/>
  <c r="AK63" i="1"/>
  <c r="AJ63" i="1"/>
  <c r="AL32" i="1"/>
  <c r="AK32" i="1"/>
  <c r="AJ32" i="1"/>
  <c r="AL30" i="1"/>
  <c r="AK30" i="1"/>
  <c r="AJ30" i="1"/>
  <c r="AL41" i="1"/>
  <c r="AK41" i="1"/>
  <c r="AJ41" i="1"/>
  <c r="AL35" i="1"/>
  <c r="AK35" i="1"/>
  <c r="AJ35" i="1"/>
  <c r="AL26" i="1"/>
  <c r="AK26" i="1"/>
  <c r="AL19" i="1"/>
  <c r="AK19" i="1"/>
  <c r="AJ19" i="1"/>
  <c r="AL24" i="1"/>
  <c r="AK24" i="1"/>
  <c r="AJ24" i="1"/>
  <c r="AL20" i="1"/>
  <c r="AK20" i="1"/>
  <c r="AJ20" i="1"/>
  <c r="AL10" i="1"/>
  <c r="AK10" i="1"/>
  <c r="AJ10" i="1"/>
  <c r="AL4" i="1"/>
  <c r="AK4" i="1"/>
  <c r="AJ4" i="1"/>
  <c r="AI97" i="1"/>
  <c r="AI182" i="1"/>
  <c r="AI81" i="1"/>
  <c r="AI155" i="1"/>
  <c r="AI127" i="1"/>
  <c r="AI123" i="1"/>
  <c r="AI132" i="1"/>
  <c r="AI117" i="1"/>
  <c r="AI114" i="1"/>
  <c r="AI109" i="1"/>
  <c r="AI105" i="1"/>
  <c r="AI99" i="1"/>
  <c r="AI93" i="1"/>
  <c r="AI85" i="1"/>
  <c r="AI80" i="1"/>
  <c r="AI71" i="1"/>
  <c r="AI63" i="1"/>
  <c r="AI50" i="1"/>
  <c r="AI41" i="1"/>
  <c r="AI26" i="1"/>
  <c r="AI24" i="1"/>
  <c r="AI15" i="1"/>
  <c r="AI4" i="1"/>
  <c r="AJ199" i="1"/>
  <c r="AJ133" i="1"/>
  <c r="AJ122" i="1"/>
  <c r="AJ102" i="1"/>
  <c r="AJ108" i="1"/>
  <c r="AJ98" i="1"/>
  <c r="AJ89" i="1"/>
  <c r="AJ74" i="1"/>
  <c r="AJ76" i="1"/>
  <c r="AJ50" i="1"/>
  <c r="AJ29" i="1"/>
  <c r="AK97" i="1"/>
  <c r="AL82" i="1"/>
  <c r="AJ180" i="1"/>
  <c r="AL180" i="1"/>
  <c r="AK180" i="1"/>
  <c r="AK54" i="1"/>
  <c r="AL54" i="1"/>
  <c r="AJ54" i="1"/>
  <c r="AL170" i="1"/>
  <c r="AK170" i="1"/>
  <c r="AJ170" i="1"/>
  <c r="AK131" i="1"/>
  <c r="AL131" i="1"/>
  <c r="AJ131" i="1"/>
  <c r="AK125" i="1"/>
  <c r="AL125" i="1"/>
  <c r="AJ125" i="1"/>
  <c r="AK55" i="1"/>
  <c r="AJ55" i="1"/>
  <c r="AL119" i="1"/>
  <c r="AK119" i="1"/>
  <c r="AJ119" i="1"/>
  <c r="AK116" i="1"/>
  <c r="AL116" i="1"/>
  <c r="AJ116" i="1"/>
  <c r="AK112" i="1"/>
  <c r="AJ112" i="1"/>
  <c r="AL112" i="1"/>
  <c r="AK107" i="1"/>
  <c r="AL107" i="1"/>
  <c r="AJ107" i="1"/>
  <c r="AL101" i="1"/>
  <c r="AK101" i="1"/>
  <c r="AJ101" i="1"/>
  <c r="AK96" i="1"/>
  <c r="AL96" i="1"/>
  <c r="AJ96" i="1"/>
  <c r="AI96" i="1"/>
  <c r="AK91" i="1"/>
  <c r="AL91" i="1"/>
  <c r="AJ91" i="1"/>
  <c r="AI91" i="1"/>
  <c r="AK88" i="1"/>
  <c r="AJ88" i="1"/>
  <c r="AI88" i="1"/>
  <c r="AL84" i="1"/>
  <c r="AJ84" i="1"/>
  <c r="AI84" i="1"/>
  <c r="AK84" i="1"/>
  <c r="AL79" i="1"/>
  <c r="AK79" i="1"/>
  <c r="AJ79" i="1"/>
  <c r="AI79" i="1"/>
  <c r="AK64" i="1"/>
  <c r="AJ64" i="1"/>
  <c r="AI64" i="1"/>
  <c r="AL64" i="1"/>
  <c r="AK75" i="1"/>
  <c r="AL75" i="1"/>
  <c r="AJ75" i="1"/>
  <c r="AI75" i="1"/>
  <c r="AL70" i="1"/>
  <c r="AK70" i="1"/>
  <c r="AI70" i="1"/>
  <c r="AJ70" i="1"/>
  <c r="AL68" i="1"/>
  <c r="AI68" i="1"/>
  <c r="AK62" i="1"/>
  <c r="AL62" i="1"/>
  <c r="AJ62" i="1"/>
  <c r="AI62" i="1"/>
  <c r="AK59" i="1"/>
  <c r="AJ59" i="1"/>
  <c r="AI59" i="1"/>
  <c r="AL49" i="1"/>
  <c r="AI49" i="1"/>
  <c r="AK49" i="1"/>
  <c r="AJ49" i="1"/>
  <c r="AL42" i="1"/>
  <c r="AK42" i="1"/>
  <c r="AI42" i="1"/>
  <c r="AK40" i="1"/>
  <c r="AJ40" i="1"/>
  <c r="AI40" i="1"/>
  <c r="AL40" i="1"/>
  <c r="AK28" i="1"/>
  <c r="AL28" i="1"/>
  <c r="AJ28" i="1"/>
  <c r="AI28" i="1"/>
  <c r="AL34" i="1"/>
  <c r="AK34" i="1"/>
  <c r="AI34" i="1"/>
  <c r="AJ34" i="1"/>
  <c r="AL29" i="1"/>
  <c r="AI29" i="1"/>
  <c r="AK23" i="1"/>
  <c r="AL23" i="1"/>
  <c r="AJ23" i="1"/>
  <c r="AI23" i="1"/>
  <c r="AK16" i="1"/>
  <c r="AJ16" i="1"/>
  <c r="AI16" i="1"/>
  <c r="AL14" i="1"/>
  <c r="AI14" i="1"/>
  <c r="AK14" i="1"/>
  <c r="AJ14" i="1"/>
  <c r="AL11" i="1"/>
  <c r="AK11" i="1"/>
  <c r="AI11" i="1"/>
  <c r="AI202" i="1"/>
  <c r="AI199" i="1"/>
  <c r="AI171" i="1"/>
  <c r="AI133" i="1"/>
  <c r="AI126" i="1"/>
  <c r="AI122" i="1"/>
  <c r="AI120" i="1"/>
  <c r="AI102" i="1"/>
  <c r="AI113" i="1"/>
  <c r="AI108" i="1"/>
  <c r="AI104" i="1"/>
  <c r="AI98" i="1"/>
  <c r="AI90" i="1"/>
  <c r="AI48" i="1"/>
  <c r="AI77" i="1"/>
  <c r="AI69" i="1"/>
  <c r="AI56" i="1"/>
  <c r="AI45" i="1"/>
  <c r="AI36" i="1"/>
  <c r="AI31" i="1"/>
  <c r="AI22" i="1"/>
  <c r="AI9" i="1"/>
  <c r="AJ97" i="1"/>
  <c r="AJ81" i="1"/>
  <c r="AJ127" i="1"/>
  <c r="AJ132" i="1"/>
  <c r="AJ114" i="1"/>
  <c r="AJ105" i="1"/>
  <c r="AJ94" i="1"/>
  <c r="AJ87" i="1"/>
  <c r="AJ82" i="1"/>
  <c r="AJ71" i="1"/>
  <c r="AJ42" i="1"/>
  <c r="AK68" i="1"/>
  <c r="AK15" i="1"/>
  <c r="AL114" i="1"/>
  <c r="AL16" i="1"/>
  <c r="AL3" i="1"/>
  <c r="AK3" i="1"/>
  <c r="AJ3" i="1"/>
  <c r="AI3" i="1"/>
  <c r="AL103" i="1"/>
  <c r="AJ103" i="1"/>
  <c r="AK103" i="1"/>
  <c r="AL53" i="1"/>
  <c r="AJ53" i="1"/>
  <c r="AJ159" i="1"/>
  <c r="AK159" i="1"/>
  <c r="AL130" i="1"/>
  <c r="AJ130" i="1"/>
  <c r="AL124" i="1"/>
  <c r="AJ124" i="1"/>
  <c r="AK124" i="1"/>
  <c r="AJ111" i="1"/>
  <c r="AL111" i="1"/>
  <c r="AJ118" i="1"/>
  <c r="AL118" i="1"/>
  <c r="AK118" i="1"/>
  <c r="AL115" i="1"/>
  <c r="AJ115" i="1"/>
  <c r="AL110" i="1"/>
  <c r="AJ110" i="1"/>
  <c r="AK110" i="1"/>
  <c r="AL106" i="1"/>
  <c r="AJ106" i="1"/>
  <c r="AJ100" i="1"/>
  <c r="AK100" i="1"/>
  <c r="AL95" i="1"/>
  <c r="AJ95" i="1"/>
  <c r="AL43" i="1"/>
  <c r="AJ43" i="1"/>
  <c r="AI43" i="1"/>
  <c r="AK43" i="1"/>
  <c r="AK86" i="1"/>
  <c r="AJ86" i="1"/>
  <c r="AI86" i="1"/>
  <c r="AL86" i="1"/>
  <c r="AK83" i="1"/>
  <c r="AJ83" i="1"/>
  <c r="AI83" i="1"/>
  <c r="AL83" i="1"/>
  <c r="AL73" i="1"/>
  <c r="AK73" i="1"/>
  <c r="AJ73" i="1"/>
  <c r="AI73" i="1"/>
  <c r="AL78" i="1"/>
  <c r="AJ78" i="1"/>
  <c r="AI78" i="1"/>
  <c r="AK46" i="1"/>
  <c r="AL46" i="1"/>
  <c r="AJ46" i="1"/>
  <c r="AI46" i="1"/>
  <c r="AK44" i="1"/>
  <c r="AI44" i="1"/>
  <c r="AJ44" i="1"/>
  <c r="AL66" i="1"/>
  <c r="AI66" i="1"/>
  <c r="AK66" i="1"/>
  <c r="AJ66" i="1"/>
  <c r="AL61" i="1"/>
  <c r="AI61" i="1"/>
  <c r="AK61" i="1"/>
  <c r="AK58" i="1"/>
  <c r="AJ58" i="1"/>
  <c r="AI58" i="1"/>
  <c r="AL58" i="1"/>
  <c r="AK47" i="1"/>
  <c r="AI47" i="1"/>
  <c r="AL47" i="1"/>
  <c r="AJ47" i="1"/>
  <c r="AL39" i="1"/>
  <c r="AK39" i="1"/>
  <c r="AI39" i="1"/>
  <c r="AJ39" i="1"/>
  <c r="AL37" i="1"/>
  <c r="AI37" i="1"/>
  <c r="AK21" i="1"/>
  <c r="AL21" i="1"/>
  <c r="AJ21" i="1"/>
  <c r="AI21" i="1"/>
  <c r="AK33" i="1"/>
  <c r="AI33" i="1"/>
  <c r="AJ33" i="1"/>
  <c r="AL27" i="1"/>
  <c r="AI27" i="1"/>
  <c r="AK27" i="1"/>
  <c r="AJ27" i="1"/>
  <c r="AL12" i="1"/>
  <c r="AI12" i="1"/>
  <c r="AK12" i="1"/>
  <c r="AK18" i="1"/>
  <c r="AJ18" i="1"/>
  <c r="AI18" i="1"/>
  <c r="AL18" i="1"/>
  <c r="AK7" i="1"/>
  <c r="AI7" i="1"/>
  <c r="AL7" i="1"/>
  <c r="AJ7" i="1"/>
  <c r="AL8" i="1"/>
  <c r="AK8" i="1"/>
  <c r="AI8" i="1"/>
  <c r="AJ8" i="1"/>
  <c r="AI180" i="1"/>
  <c r="AI54" i="1"/>
  <c r="AI170" i="1"/>
  <c r="AI131" i="1"/>
  <c r="AI125" i="1"/>
  <c r="AI55" i="1"/>
  <c r="AI119" i="1"/>
  <c r="AI116" i="1"/>
  <c r="AI112" i="1"/>
  <c r="AI107" i="1"/>
  <c r="AI101" i="1"/>
  <c r="AI95" i="1"/>
  <c r="AI89" i="1"/>
  <c r="AI74" i="1"/>
  <c r="AI76" i="1"/>
  <c r="AI67" i="1"/>
  <c r="AI32" i="1"/>
  <c r="AI30" i="1"/>
  <c r="AI35" i="1"/>
  <c r="AI19" i="1"/>
  <c r="AI20" i="1"/>
  <c r="AI10" i="1"/>
  <c r="AJ202" i="1"/>
  <c r="AJ171" i="1"/>
  <c r="AJ126" i="1"/>
  <c r="AJ120" i="1"/>
  <c r="AJ113" i="1"/>
  <c r="AJ104" i="1"/>
  <c r="AJ93" i="1"/>
  <c r="AJ85" i="1"/>
  <c r="AJ80" i="1"/>
  <c r="AJ68" i="1"/>
  <c r="AJ37" i="1"/>
  <c r="AJ15" i="1"/>
  <c r="AK130" i="1"/>
  <c r="AK95" i="1"/>
  <c r="AK50" i="1"/>
  <c r="AM50" i="1" s="1"/>
  <c r="AL100" i="1"/>
  <c r="AL59" i="1"/>
  <c r="AL6" i="1"/>
  <c r="Z136" i="1"/>
  <c r="Y134" i="1"/>
  <c r="X217" i="1"/>
  <c r="Y141" i="1"/>
  <c r="Z137" i="1"/>
  <c r="X183" i="1"/>
  <c r="X151" i="1"/>
  <c r="X135" i="1"/>
  <c r="X215" i="1"/>
  <c r="Z92" i="1"/>
  <c r="Z203" i="1"/>
  <c r="Z88" i="1"/>
  <c r="Y213" i="1"/>
  <c r="Y173" i="1"/>
  <c r="Y150" i="1"/>
  <c r="Y142" i="1"/>
  <c r="E214" i="1"/>
  <c r="H214" i="1"/>
  <c r="E52" i="1"/>
  <c r="H52" i="1"/>
  <c r="E190" i="1"/>
  <c r="H190" i="1"/>
  <c r="E134" i="1"/>
  <c r="H134" i="1"/>
  <c r="E70" i="1"/>
  <c r="H70" i="1"/>
  <c r="E118" i="1"/>
  <c r="H118" i="1"/>
  <c r="E107" i="1"/>
  <c r="H107" i="1"/>
  <c r="E25" i="1"/>
  <c r="H25" i="1"/>
  <c r="E9" i="1"/>
  <c r="H9" i="1"/>
  <c r="E17" i="1"/>
  <c r="H17" i="1"/>
  <c r="G102" i="1"/>
  <c r="H102" i="1"/>
  <c r="F117" i="1"/>
  <c r="H117" i="1"/>
  <c r="G100" i="1"/>
  <c r="H100" i="1"/>
  <c r="F90" i="1"/>
  <c r="H90" i="1"/>
  <c r="F67" i="1"/>
  <c r="H67" i="1"/>
  <c r="G30" i="1"/>
  <c r="H30" i="1"/>
  <c r="F56" i="1"/>
  <c r="H56" i="1"/>
  <c r="G86" i="1"/>
  <c r="H86" i="1"/>
  <c r="F29" i="1"/>
  <c r="H29" i="1"/>
  <c r="G12" i="1"/>
  <c r="H12" i="1"/>
  <c r="F8" i="1"/>
  <c r="H8" i="1"/>
  <c r="AC231" i="1"/>
  <c r="AC227" i="1"/>
  <c r="AC223" i="1"/>
  <c r="AC219" i="1"/>
  <c r="AC215" i="1"/>
  <c r="AC211" i="1"/>
  <c r="AC207" i="1"/>
  <c r="AC203" i="1"/>
  <c r="AC5" i="1"/>
  <c r="AC195" i="1"/>
  <c r="E166" i="1"/>
  <c r="H166" i="1"/>
  <c r="E146" i="1"/>
  <c r="H146" i="1"/>
  <c r="E89" i="1"/>
  <c r="H89" i="1"/>
  <c r="E57" i="1"/>
  <c r="H57" i="1"/>
  <c r="E40" i="1"/>
  <c r="H40" i="1"/>
  <c r="E65" i="1"/>
  <c r="H65" i="1"/>
  <c r="E19" i="1"/>
  <c r="H19" i="1"/>
  <c r="F130" i="1"/>
  <c r="H130" i="1"/>
  <c r="G55" i="1"/>
  <c r="H55" i="1"/>
  <c r="AC230" i="1"/>
  <c r="AC226" i="1"/>
  <c r="AC222" i="1"/>
  <c r="AC218" i="1"/>
  <c r="AC214" i="1"/>
  <c r="AC210" i="1"/>
  <c r="AC206" i="1"/>
  <c r="AC52" i="1"/>
  <c r="AC198" i="1"/>
  <c r="AC194" i="1"/>
  <c r="AC190" i="1"/>
  <c r="AC186" i="1"/>
  <c r="AC60" i="1"/>
  <c r="AC178" i="1"/>
  <c r="AC174" i="1"/>
  <c r="AC129" i="1"/>
  <c r="AC166" i="1"/>
  <c r="AC162" i="1"/>
  <c r="AC158" i="1"/>
  <c r="AC154" i="1"/>
  <c r="AC150" i="1"/>
  <c r="AC146" i="1"/>
  <c r="E226" i="1"/>
  <c r="H226" i="1"/>
  <c r="E170" i="1"/>
  <c r="H170" i="1"/>
  <c r="E110" i="1"/>
  <c r="H110" i="1"/>
  <c r="E109" i="1"/>
  <c r="H109" i="1"/>
  <c r="E87" i="1"/>
  <c r="H87" i="1"/>
  <c r="AC229" i="1"/>
  <c r="AC225" i="1"/>
  <c r="AC221" i="1"/>
  <c r="AC217" i="1"/>
  <c r="AC213" i="1"/>
  <c r="AC209" i="1"/>
  <c r="AC205" i="1"/>
  <c r="AC201" i="1"/>
  <c r="AC197" i="1"/>
  <c r="AC193" i="1"/>
  <c r="AC189" i="1"/>
  <c r="AC185" i="1"/>
  <c r="AC181" i="1"/>
  <c r="AC177" i="1"/>
  <c r="AC173" i="1"/>
  <c r="AC169" i="1"/>
  <c r="AC165" i="1"/>
  <c r="AC161" i="1"/>
  <c r="AC157" i="1"/>
  <c r="AC153" i="1"/>
  <c r="AC149" i="1"/>
  <c r="AC145" i="1"/>
  <c r="AC141" i="1"/>
  <c r="AC137" i="1"/>
  <c r="AC97" i="1"/>
  <c r="AC182" i="1"/>
  <c r="AC74" i="1"/>
  <c r="AC159" i="1"/>
  <c r="AC155" i="1"/>
  <c r="AC131" i="1"/>
  <c r="AC127" i="1"/>
  <c r="AC123" i="1"/>
  <c r="AC39" i="1"/>
  <c r="AC96" i="1"/>
  <c r="AC120" i="1"/>
  <c r="AC115" i="1"/>
  <c r="AC113" i="1"/>
  <c r="AC21" i="1"/>
  <c r="AC73" i="1"/>
  <c r="AC94" i="1"/>
  <c r="AC58" i="1"/>
  <c r="AC44" i="1"/>
  <c r="AC69" i="1"/>
  <c r="AC46" i="1"/>
  <c r="AC82" i="1"/>
  <c r="AC41" i="1"/>
  <c r="AC28" i="1"/>
  <c r="AC61" i="1"/>
  <c r="AC26" i="1"/>
  <c r="AC33" i="1"/>
  <c r="AC23" i="1"/>
  <c r="AC24" i="1"/>
  <c r="AC85" i="1"/>
  <c r="AC42" i="1"/>
  <c r="AC11" i="1"/>
  <c r="AC15" i="1"/>
  <c r="AC6" i="1"/>
  <c r="E178" i="1"/>
  <c r="H178" i="1"/>
  <c r="E62" i="1"/>
  <c r="H62" i="1"/>
  <c r="E66" i="1"/>
  <c r="H66" i="1"/>
  <c r="E36" i="1"/>
  <c r="H36" i="1"/>
  <c r="E18" i="1"/>
  <c r="H18" i="1"/>
  <c r="F229" i="1"/>
  <c r="H229" i="1"/>
  <c r="F221" i="1"/>
  <c r="H221" i="1"/>
  <c r="G213" i="1"/>
  <c r="H213" i="1"/>
  <c r="F201" i="1"/>
  <c r="H201" i="1"/>
  <c r="G197" i="1"/>
  <c r="H197" i="1"/>
  <c r="F181" i="1"/>
  <c r="H181" i="1"/>
  <c r="F177" i="1"/>
  <c r="H177" i="1"/>
  <c r="G169" i="1"/>
  <c r="H169" i="1"/>
  <c r="F161" i="1"/>
  <c r="H161" i="1"/>
  <c r="G157" i="1"/>
  <c r="H157" i="1"/>
  <c r="F145" i="1"/>
  <c r="H145" i="1"/>
  <c r="G141" i="1"/>
  <c r="H141" i="1"/>
  <c r="F97" i="1"/>
  <c r="H97" i="1"/>
  <c r="F182" i="1"/>
  <c r="H182" i="1"/>
  <c r="F74" i="1"/>
  <c r="H74" i="1"/>
  <c r="F159" i="1"/>
  <c r="H159" i="1"/>
  <c r="G127" i="1"/>
  <c r="H127" i="1"/>
  <c r="G120" i="1"/>
  <c r="H120" i="1"/>
  <c r="G73" i="1"/>
  <c r="H73" i="1"/>
  <c r="F82" i="1"/>
  <c r="H82" i="1"/>
  <c r="AC232" i="1"/>
  <c r="AC228" i="1"/>
  <c r="AC224" i="1"/>
  <c r="AC220" i="1"/>
  <c r="AC216" i="1"/>
  <c r="AC212" i="1"/>
  <c r="AC208" i="1"/>
  <c r="AC204" i="1"/>
  <c r="AC200" i="1"/>
  <c r="AC196" i="1"/>
  <c r="AC192" i="1"/>
  <c r="AC188" i="1"/>
  <c r="AC184" i="1"/>
  <c r="AC121" i="1"/>
  <c r="AC176" i="1"/>
  <c r="AC172" i="1"/>
  <c r="AC168" i="1"/>
  <c r="AC164" i="1"/>
  <c r="AC160" i="1"/>
  <c r="AC156" i="1"/>
  <c r="AC152" i="1"/>
  <c r="AC148" i="1"/>
  <c r="AC144" i="1"/>
  <c r="AC140" i="1"/>
  <c r="AC136" i="1"/>
  <c r="AC202" i="1"/>
  <c r="AC199" i="1"/>
  <c r="AC81" i="1"/>
  <c r="AC88" i="1"/>
  <c r="AC104" i="1"/>
  <c r="AC71" i="1"/>
  <c r="AC126" i="1"/>
  <c r="AC102" i="1"/>
  <c r="AC117" i="1"/>
  <c r="AC112" i="1"/>
  <c r="AC59" i="1"/>
  <c r="AC93" i="1"/>
  <c r="AC67" i="1"/>
  <c r="AC75" i="1"/>
  <c r="AC30" i="1"/>
  <c r="AC80" i="1"/>
  <c r="AC35" i="1"/>
  <c r="AC29" i="1"/>
  <c r="AC84" i="1"/>
  <c r="AC12" i="1"/>
  <c r="AC22" i="1"/>
  <c r="AC4" i="1"/>
  <c r="AC191" i="1"/>
  <c r="AC187" i="1"/>
  <c r="AC183" i="1"/>
  <c r="AC179" i="1"/>
  <c r="AC175" i="1"/>
  <c r="AC92" i="1"/>
  <c r="AC167" i="1"/>
  <c r="AC163" i="1"/>
  <c r="AC51" i="1"/>
  <c r="AC128" i="1"/>
  <c r="AC151" i="1"/>
  <c r="AC147" i="1"/>
  <c r="AC143" i="1"/>
  <c r="AC139" i="1"/>
  <c r="AC135" i="1"/>
  <c r="AC180" i="1"/>
  <c r="AC54" i="1"/>
  <c r="AC171" i="1"/>
  <c r="AC133" i="1"/>
  <c r="AC101" i="1"/>
  <c r="AC55" i="1"/>
  <c r="AC116" i="1"/>
  <c r="AC119" i="1"/>
  <c r="AC79" i="1"/>
  <c r="AC108" i="1"/>
  <c r="AC32" i="1"/>
  <c r="AC68" i="1"/>
  <c r="AC63" i="1"/>
  <c r="AC34" i="1"/>
  <c r="AC49" i="1"/>
  <c r="AC27" i="1"/>
  <c r="AC91" i="1"/>
  <c r="AC13" i="1"/>
  <c r="AC10" i="1"/>
  <c r="AC3" i="1"/>
  <c r="AC103" i="1"/>
  <c r="AC170" i="1"/>
  <c r="AC64" i="1"/>
  <c r="AC70" i="1"/>
  <c r="AC124" i="1"/>
  <c r="AC122" i="1"/>
  <c r="AC107" i="1"/>
  <c r="AC98" i="1"/>
  <c r="AC89" i="1"/>
  <c r="AC76" i="1"/>
  <c r="AC50" i="1"/>
  <c r="AC40" i="1"/>
  <c r="AC62" i="1"/>
  <c r="AC9" i="1"/>
  <c r="AC19" i="1"/>
  <c r="AC18" i="1"/>
  <c r="Z201" i="1"/>
  <c r="Y221" i="1"/>
  <c r="Y205" i="1"/>
  <c r="AE8" i="1"/>
  <c r="AF8" i="1" s="1"/>
  <c r="R202" i="1"/>
  <c r="Q202" i="1"/>
  <c r="R90" i="1"/>
  <c r="Q90" i="1"/>
  <c r="R4" i="1"/>
  <c r="Q4" i="1"/>
  <c r="Q228" i="1"/>
  <c r="Q212" i="1"/>
  <c r="Q204" i="1"/>
  <c r="Q196" i="1"/>
  <c r="Q188" i="1"/>
  <c r="Q121" i="1"/>
  <c r="Q172" i="1"/>
  <c r="Q164" i="1"/>
  <c r="Q156" i="1"/>
  <c r="Q148" i="1"/>
  <c r="Q140" i="1"/>
  <c r="Q182" i="1"/>
  <c r="Q232" i="1"/>
  <c r="Q216" i="1"/>
  <c r="Q81" i="1"/>
  <c r="Q220" i="1"/>
  <c r="Q208" i="1"/>
  <c r="Q200" i="1"/>
  <c r="Q192" i="1"/>
  <c r="Q184" i="1"/>
  <c r="Q176" i="1"/>
  <c r="Q168" i="1"/>
  <c r="Q160" i="1"/>
  <c r="Q152" i="1"/>
  <c r="Q144" i="1"/>
  <c r="Q136" i="1"/>
  <c r="Q125" i="1"/>
  <c r="Q80" i="1"/>
  <c r="S229" i="1"/>
  <c r="Q229" i="1"/>
  <c r="S225" i="1"/>
  <c r="Q225" i="1"/>
  <c r="S221" i="1"/>
  <c r="Q221" i="1"/>
  <c r="S217" i="1"/>
  <c r="Q217" i="1"/>
  <c r="S213" i="1"/>
  <c r="Q213" i="1"/>
  <c r="S209" i="1"/>
  <c r="Q209" i="1"/>
  <c r="S205" i="1"/>
  <c r="Q205" i="1"/>
  <c r="S201" i="1"/>
  <c r="Q201" i="1"/>
  <c r="S197" i="1"/>
  <c r="Q197" i="1"/>
  <c r="S193" i="1"/>
  <c r="Q193" i="1"/>
  <c r="S189" i="1"/>
  <c r="Q189" i="1"/>
  <c r="S185" i="1"/>
  <c r="Q185" i="1"/>
  <c r="S181" i="1"/>
  <c r="Q181" i="1"/>
  <c r="S177" i="1"/>
  <c r="Q177" i="1"/>
  <c r="S173" i="1"/>
  <c r="Q173" i="1"/>
  <c r="S169" i="1"/>
  <c r="Q169" i="1"/>
  <c r="S165" i="1"/>
  <c r="Q165" i="1"/>
  <c r="S161" i="1"/>
  <c r="Q161" i="1"/>
  <c r="S157" i="1"/>
  <c r="Q157" i="1"/>
  <c r="S153" i="1"/>
  <c r="Q153" i="1"/>
  <c r="S149" i="1"/>
  <c r="Q149" i="1"/>
  <c r="S145" i="1"/>
  <c r="Q145" i="1"/>
  <c r="S141" i="1"/>
  <c r="Q141" i="1"/>
  <c r="S137" i="1"/>
  <c r="Q137" i="1"/>
  <c r="S155" i="1"/>
  <c r="Q155" i="1"/>
  <c r="S127" i="1"/>
  <c r="Q127" i="1"/>
  <c r="S120" i="1"/>
  <c r="Q120" i="1"/>
  <c r="Q224" i="1"/>
  <c r="Q71" i="1"/>
  <c r="Q199" i="1"/>
  <c r="Q126" i="1"/>
  <c r="Q102" i="1"/>
  <c r="Q117" i="1"/>
  <c r="Q104" i="1"/>
  <c r="Q93" i="1"/>
  <c r="Q74" i="1"/>
  <c r="Q56" i="1"/>
  <c r="S39" i="1"/>
  <c r="Q39" i="1"/>
  <c r="Y72" i="1"/>
  <c r="R59" i="1"/>
  <c r="Q59" i="1"/>
  <c r="R75" i="1"/>
  <c r="Q75" i="1"/>
  <c r="R37" i="1"/>
  <c r="Q37" i="1"/>
  <c r="R14" i="1"/>
  <c r="Q14" i="1"/>
  <c r="R12" i="1"/>
  <c r="Q12" i="1"/>
  <c r="R8" i="1"/>
  <c r="Q8" i="1"/>
  <c r="R22" i="1"/>
  <c r="Q22" i="1"/>
  <c r="Y53" i="1"/>
  <c r="Y127" i="1"/>
  <c r="Q131" i="1"/>
  <c r="Q112" i="1"/>
  <c r="Q96" i="1"/>
  <c r="Q88" i="1"/>
  <c r="Q84" i="1"/>
  <c r="Q67" i="1"/>
  <c r="Q30" i="1"/>
  <c r="Q35" i="1"/>
  <c r="Q29" i="1"/>
  <c r="Q97" i="1"/>
  <c r="Q159" i="1"/>
  <c r="Q123" i="1"/>
  <c r="Q111" i="1"/>
  <c r="Q100" i="1"/>
  <c r="Q86" i="1"/>
  <c r="Q83" i="1"/>
  <c r="Q38" i="1"/>
  <c r="Z199" i="1"/>
  <c r="X231" i="1"/>
  <c r="X219" i="1"/>
  <c r="Y211" i="1"/>
  <c r="X5" i="1"/>
  <c r="Y179" i="1"/>
  <c r="X167" i="1"/>
  <c r="Z139" i="1"/>
  <c r="X81" i="1"/>
  <c r="Y106" i="1"/>
  <c r="W180" i="1"/>
  <c r="Z227" i="1"/>
  <c r="Z195" i="1"/>
  <c r="Z163" i="1"/>
  <c r="Y147" i="1"/>
  <c r="Y171" i="1"/>
  <c r="Z101" i="1"/>
  <c r="X55" i="1"/>
  <c r="Z132" i="1"/>
  <c r="Y119" i="1"/>
  <c r="X79" i="1"/>
  <c r="Z108" i="1"/>
  <c r="X99" i="1"/>
  <c r="X95" i="1"/>
  <c r="X32" i="1"/>
  <c r="X68" i="1"/>
  <c r="X63" i="1"/>
  <c r="Y47" i="1"/>
  <c r="X45" i="1"/>
  <c r="X31" i="1"/>
  <c r="X20" i="1"/>
  <c r="X34" i="1"/>
  <c r="X49" i="1"/>
  <c r="X27" i="1"/>
  <c r="X91" i="1"/>
  <c r="Y13" i="1"/>
  <c r="X10" i="1"/>
  <c r="X7" i="1"/>
  <c r="Z3" i="1"/>
  <c r="AD28" i="1"/>
  <c r="AD26" i="1"/>
  <c r="AD11" i="1"/>
  <c r="AD6" i="1"/>
  <c r="Y70" i="1"/>
  <c r="Y122" i="1"/>
  <c r="Y118" i="1"/>
  <c r="Y114" i="1"/>
  <c r="Y98" i="1"/>
  <c r="Y57" i="1"/>
  <c r="Y40" i="1"/>
  <c r="Y65" i="1"/>
  <c r="Y17" i="1"/>
  <c r="AD38" i="1"/>
  <c r="Z123" i="1"/>
  <c r="Y120" i="1"/>
  <c r="Z73" i="1"/>
  <c r="Y94" i="1"/>
  <c r="Z58" i="1"/>
  <c r="Z69" i="1"/>
  <c r="Y46" i="1"/>
  <c r="Z82" i="1"/>
  <c r="Z28" i="1"/>
  <c r="Y61" i="1"/>
  <c r="Z26" i="1"/>
  <c r="Z23" i="1"/>
  <c r="Y24" i="1"/>
  <c r="Z85" i="1"/>
  <c r="Z11" i="1"/>
  <c r="Y15" i="1"/>
  <c r="Z6" i="1"/>
  <c r="AD128" i="1"/>
  <c r="AE147" i="1"/>
  <c r="AF147" i="1" s="1"/>
  <c r="AD139" i="1"/>
  <c r="AD171" i="1"/>
  <c r="AD119" i="1"/>
  <c r="Z71" i="1"/>
  <c r="X126" i="1"/>
  <c r="Z125" i="1"/>
  <c r="Z102" i="1"/>
  <c r="X117" i="1"/>
  <c r="Z112" i="1"/>
  <c r="Y83" i="1"/>
  <c r="Y75" i="1"/>
  <c r="Y86" i="1"/>
  <c r="Y14" i="1"/>
  <c r="AE76" i="1"/>
  <c r="AF76" i="1" s="1"/>
  <c r="AE62" i="1"/>
  <c r="AF62" i="1" s="1"/>
  <c r="AD66" i="1"/>
  <c r="AE9" i="1"/>
  <c r="AF9" i="1" s="1"/>
  <c r="AD36" i="1"/>
  <c r="AE19" i="1"/>
  <c r="AF19" i="1" s="1"/>
  <c r="R218" i="1"/>
  <c r="R210" i="1"/>
  <c r="R52" i="1"/>
  <c r="R190" i="1"/>
  <c r="R174" i="1"/>
  <c r="R166" i="1"/>
  <c r="R154" i="1"/>
  <c r="R138" i="1"/>
  <c r="R103" i="1"/>
  <c r="R124" i="1"/>
  <c r="R118" i="1"/>
  <c r="R114" i="1"/>
  <c r="R98" i="1"/>
  <c r="R110" i="1"/>
  <c r="R50" i="1"/>
  <c r="R40" i="1"/>
  <c r="R66" i="1"/>
  <c r="R9" i="1"/>
  <c r="R36" i="1"/>
  <c r="R226" i="1"/>
  <c r="R214" i="1"/>
  <c r="R194" i="1"/>
  <c r="R60" i="1"/>
  <c r="R129" i="1"/>
  <c r="R158" i="1"/>
  <c r="R146" i="1"/>
  <c r="R134" i="1"/>
  <c r="R170" i="1"/>
  <c r="R70" i="1"/>
  <c r="R122" i="1"/>
  <c r="R107" i="1"/>
  <c r="R77" i="1"/>
  <c r="R76" i="1"/>
  <c r="R62" i="1"/>
  <c r="R65" i="1"/>
  <c r="R17" i="1"/>
  <c r="R230" i="1"/>
  <c r="R222" i="1"/>
  <c r="R206" i="1"/>
  <c r="R198" i="1"/>
  <c r="R186" i="1"/>
  <c r="R178" i="1"/>
  <c r="R162" i="1"/>
  <c r="R150" i="1"/>
  <c r="R142" i="1"/>
  <c r="R53" i="1"/>
  <c r="R106" i="1"/>
  <c r="R64" i="1"/>
  <c r="R43" i="1"/>
  <c r="R78" i="1"/>
  <c r="R89" i="1"/>
  <c r="R57" i="1"/>
  <c r="R109" i="1"/>
  <c r="R25" i="1"/>
  <c r="R87" i="1"/>
  <c r="R19" i="1"/>
  <c r="R18" i="1"/>
  <c r="K107" i="1"/>
  <c r="K62" i="1"/>
  <c r="K18" i="1"/>
  <c r="K122" i="1"/>
  <c r="K89" i="1"/>
  <c r="K25" i="1"/>
  <c r="F193" i="1"/>
  <c r="K106" i="1"/>
  <c r="K78" i="1"/>
  <c r="K85" i="1"/>
  <c r="M79" i="1"/>
  <c r="K79" i="1"/>
  <c r="N226" i="1"/>
  <c r="K226" i="1"/>
  <c r="L214" i="1"/>
  <c r="K214" i="1"/>
  <c r="N206" i="1"/>
  <c r="K206" i="1"/>
  <c r="L198" i="1"/>
  <c r="K198" i="1"/>
  <c r="N190" i="1"/>
  <c r="K190" i="1"/>
  <c r="L60" i="1"/>
  <c r="K60" i="1"/>
  <c r="L129" i="1"/>
  <c r="K129" i="1"/>
  <c r="N162" i="1"/>
  <c r="K162" i="1"/>
  <c r="K105" i="1"/>
  <c r="L229" i="1"/>
  <c r="K229" i="1"/>
  <c r="L225" i="1"/>
  <c r="K225" i="1"/>
  <c r="L221" i="1"/>
  <c r="K221" i="1"/>
  <c r="L217" i="1"/>
  <c r="K217" i="1"/>
  <c r="L213" i="1"/>
  <c r="K213" i="1"/>
  <c r="L209" i="1"/>
  <c r="K209" i="1"/>
  <c r="L205" i="1"/>
  <c r="K205" i="1"/>
  <c r="L201" i="1"/>
  <c r="K201" i="1"/>
  <c r="L197" i="1"/>
  <c r="K197" i="1"/>
  <c r="L193" i="1"/>
  <c r="K193" i="1"/>
  <c r="L189" i="1"/>
  <c r="K189" i="1"/>
  <c r="L185" i="1"/>
  <c r="K185" i="1"/>
  <c r="L181" i="1"/>
  <c r="K181" i="1"/>
  <c r="L177" i="1"/>
  <c r="K177" i="1"/>
  <c r="L173" i="1"/>
  <c r="K173" i="1"/>
  <c r="L169" i="1"/>
  <c r="K169" i="1"/>
  <c r="L165" i="1"/>
  <c r="K165" i="1"/>
  <c r="L161" i="1"/>
  <c r="K161" i="1"/>
  <c r="L157" i="1"/>
  <c r="K157" i="1"/>
  <c r="L153" i="1"/>
  <c r="K153" i="1"/>
  <c r="L149" i="1"/>
  <c r="K149" i="1"/>
  <c r="L145" i="1"/>
  <c r="K145" i="1"/>
  <c r="L141" i="1"/>
  <c r="K141" i="1"/>
  <c r="L137" i="1"/>
  <c r="K137" i="1"/>
  <c r="L97" i="1"/>
  <c r="K97" i="1"/>
  <c r="L182" i="1"/>
  <c r="K182" i="1"/>
  <c r="L74" i="1"/>
  <c r="K74" i="1"/>
  <c r="L159" i="1"/>
  <c r="K159" i="1"/>
  <c r="L155" i="1"/>
  <c r="K155" i="1"/>
  <c r="L131" i="1"/>
  <c r="K131" i="1"/>
  <c r="L127" i="1"/>
  <c r="K127" i="1"/>
  <c r="L123" i="1"/>
  <c r="K123" i="1"/>
  <c r="L39" i="1"/>
  <c r="K39" i="1"/>
  <c r="L96" i="1"/>
  <c r="K96" i="1"/>
  <c r="L120" i="1"/>
  <c r="K120" i="1"/>
  <c r="L115" i="1"/>
  <c r="K115" i="1"/>
  <c r="L21" i="1"/>
  <c r="K21" i="1"/>
  <c r="L73" i="1"/>
  <c r="K73" i="1"/>
  <c r="L94" i="1"/>
  <c r="K94" i="1"/>
  <c r="M151" i="1"/>
  <c r="K151" i="1"/>
  <c r="M55" i="1"/>
  <c r="K55" i="1"/>
  <c r="L230" i="1"/>
  <c r="K230" i="1"/>
  <c r="N222" i="1"/>
  <c r="K222" i="1"/>
  <c r="L218" i="1"/>
  <c r="K218" i="1"/>
  <c r="N210" i="1"/>
  <c r="K210" i="1"/>
  <c r="L52" i="1"/>
  <c r="K52" i="1"/>
  <c r="N194" i="1"/>
  <c r="K194" i="1"/>
  <c r="L186" i="1"/>
  <c r="K186" i="1"/>
  <c r="N178" i="1"/>
  <c r="K178" i="1"/>
  <c r="N174" i="1"/>
  <c r="K174" i="1"/>
  <c r="L166" i="1"/>
  <c r="K166" i="1"/>
  <c r="N158" i="1"/>
  <c r="K158" i="1"/>
  <c r="K113" i="1"/>
  <c r="M135" i="1"/>
  <c r="K135" i="1"/>
  <c r="M133" i="1"/>
  <c r="K133" i="1"/>
  <c r="L118" i="1"/>
  <c r="K118" i="1"/>
  <c r="L98" i="1"/>
  <c r="K98" i="1"/>
  <c r="M77" i="1"/>
  <c r="K77" i="1"/>
  <c r="M40" i="1"/>
  <c r="K40" i="1"/>
  <c r="K103" i="1"/>
  <c r="K64" i="1"/>
  <c r="K124" i="1"/>
  <c r="K57" i="1"/>
  <c r="K76" i="1"/>
  <c r="K82" i="1"/>
  <c r="K61" i="1"/>
  <c r="K9" i="1"/>
  <c r="K17" i="1"/>
  <c r="K19" i="1"/>
  <c r="L58" i="1"/>
  <c r="K58" i="1"/>
  <c r="L69" i="1"/>
  <c r="K69" i="1"/>
  <c r="L46" i="1"/>
  <c r="K46" i="1"/>
  <c r="L41" i="1"/>
  <c r="K41" i="1"/>
  <c r="L33" i="1"/>
  <c r="K33" i="1"/>
  <c r="L23" i="1"/>
  <c r="K23" i="1"/>
  <c r="L24" i="1"/>
  <c r="K24" i="1"/>
  <c r="L42" i="1"/>
  <c r="K42" i="1"/>
  <c r="L11" i="1"/>
  <c r="K11" i="1"/>
  <c r="L15" i="1"/>
  <c r="K15" i="1"/>
  <c r="L6" i="1"/>
  <c r="K6" i="1"/>
  <c r="K154" i="1"/>
  <c r="K150" i="1"/>
  <c r="K146" i="1"/>
  <c r="K142" i="1"/>
  <c r="K138" i="1"/>
  <c r="K134" i="1"/>
  <c r="K53" i="1"/>
  <c r="K170" i="1"/>
  <c r="K44" i="1"/>
  <c r="K50" i="1"/>
  <c r="K28" i="1"/>
  <c r="K65" i="1"/>
  <c r="K70" i="1"/>
  <c r="K43" i="1"/>
  <c r="K114" i="1"/>
  <c r="K110" i="1"/>
  <c r="K109" i="1"/>
  <c r="K26" i="1"/>
  <c r="K66" i="1"/>
  <c r="K87" i="1"/>
  <c r="K36" i="1"/>
  <c r="G206" i="1"/>
  <c r="E206" i="1"/>
  <c r="G198" i="1"/>
  <c r="E198" i="1"/>
  <c r="G186" i="1"/>
  <c r="E186" i="1"/>
  <c r="G174" i="1"/>
  <c r="E174" i="1"/>
  <c r="G162" i="1"/>
  <c r="E162" i="1"/>
  <c r="G53" i="1"/>
  <c r="E53" i="1"/>
  <c r="G106" i="1"/>
  <c r="E106" i="1"/>
  <c r="G64" i="1"/>
  <c r="E64" i="1"/>
  <c r="E232" i="1"/>
  <c r="E228" i="1"/>
  <c r="G224" i="1"/>
  <c r="E224" i="1"/>
  <c r="F220" i="1"/>
  <c r="E220" i="1"/>
  <c r="E216" i="1"/>
  <c r="E212" i="1"/>
  <c r="G208" i="1"/>
  <c r="E208" i="1"/>
  <c r="F204" i="1"/>
  <c r="E204" i="1"/>
  <c r="E200" i="1"/>
  <c r="E196" i="1"/>
  <c r="G192" i="1"/>
  <c r="E192" i="1"/>
  <c r="F188" i="1"/>
  <c r="E188" i="1"/>
  <c r="E184" i="1"/>
  <c r="E121" i="1"/>
  <c r="G176" i="1"/>
  <c r="E176" i="1"/>
  <c r="F172" i="1"/>
  <c r="E172" i="1"/>
  <c r="E168" i="1"/>
  <c r="E164" i="1"/>
  <c r="G160" i="1"/>
  <c r="E160" i="1"/>
  <c r="F156" i="1"/>
  <c r="E156" i="1"/>
  <c r="E152" i="1"/>
  <c r="E148" i="1"/>
  <c r="G144" i="1"/>
  <c r="E144" i="1"/>
  <c r="F140" i="1"/>
  <c r="E140" i="1"/>
  <c r="E136" i="1"/>
  <c r="E202" i="1"/>
  <c r="G199" i="1"/>
  <c r="E199" i="1"/>
  <c r="F81" i="1"/>
  <c r="E81" i="1"/>
  <c r="E88" i="1"/>
  <c r="E104" i="1"/>
  <c r="G71" i="1"/>
  <c r="E71" i="1"/>
  <c r="F71" i="1"/>
  <c r="F126" i="1"/>
  <c r="E126" i="1"/>
  <c r="E125" i="1"/>
  <c r="G218" i="1"/>
  <c r="E218" i="1"/>
  <c r="G194" i="1"/>
  <c r="E194" i="1"/>
  <c r="G60" i="1"/>
  <c r="E60" i="1"/>
  <c r="G129" i="1"/>
  <c r="E129" i="1"/>
  <c r="G158" i="1"/>
  <c r="E158" i="1"/>
  <c r="G150" i="1"/>
  <c r="E150" i="1"/>
  <c r="G138" i="1"/>
  <c r="E138" i="1"/>
  <c r="G103" i="1"/>
  <c r="E103" i="1"/>
  <c r="G124" i="1"/>
  <c r="E124" i="1"/>
  <c r="G43" i="1"/>
  <c r="E43" i="1"/>
  <c r="G114" i="1"/>
  <c r="E114" i="1"/>
  <c r="G98" i="1"/>
  <c r="E98" i="1"/>
  <c r="G77" i="1"/>
  <c r="E77" i="1"/>
  <c r="G76" i="1"/>
  <c r="E76" i="1"/>
  <c r="G50" i="1"/>
  <c r="E50" i="1"/>
  <c r="G231" i="1"/>
  <c r="E231" i="1"/>
  <c r="E227" i="1"/>
  <c r="F223" i="1"/>
  <c r="E223" i="1"/>
  <c r="G219" i="1"/>
  <c r="E219" i="1"/>
  <c r="E215" i="1"/>
  <c r="E211" i="1"/>
  <c r="F207" i="1"/>
  <c r="E207" i="1"/>
  <c r="G203" i="1"/>
  <c r="E203" i="1"/>
  <c r="F5" i="1"/>
  <c r="E5" i="1"/>
  <c r="E195" i="1"/>
  <c r="G191" i="1"/>
  <c r="E191" i="1"/>
  <c r="F187" i="1"/>
  <c r="E187" i="1"/>
  <c r="E183" i="1"/>
  <c r="F179" i="1"/>
  <c r="E179" i="1"/>
  <c r="G175" i="1"/>
  <c r="E175" i="1"/>
  <c r="F92" i="1"/>
  <c r="E92" i="1"/>
  <c r="E167" i="1"/>
  <c r="F163" i="1"/>
  <c r="E163" i="1"/>
  <c r="E51" i="1"/>
  <c r="E128" i="1"/>
  <c r="F151" i="1"/>
  <c r="E151" i="1"/>
  <c r="G147" i="1"/>
  <c r="E147" i="1"/>
  <c r="F143" i="1"/>
  <c r="E143" i="1"/>
  <c r="E139" i="1"/>
  <c r="F135" i="1"/>
  <c r="E135" i="1"/>
  <c r="E180" i="1"/>
  <c r="G54" i="1"/>
  <c r="E54" i="1"/>
  <c r="F171" i="1"/>
  <c r="E171" i="1"/>
  <c r="E133" i="1"/>
  <c r="E72" i="1"/>
  <c r="E130" i="1"/>
  <c r="F101" i="1"/>
  <c r="E101" i="1"/>
  <c r="E55" i="1"/>
  <c r="F132" i="1"/>
  <c r="E132" i="1"/>
  <c r="E116" i="1"/>
  <c r="E119" i="1"/>
  <c r="F79" i="1"/>
  <c r="E79" i="1"/>
  <c r="E108" i="1"/>
  <c r="F99" i="1"/>
  <c r="E99" i="1"/>
  <c r="E95" i="1"/>
  <c r="F105" i="1"/>
  <c r="E105" i="1"/>
  <c r="E32" i="1"/>
  <c r="E48" i="1"/>
  <c r="G68" i="1"/>
  <c r="E68" i="1"/>
  <c r="E63" i="1"/>
  <c r="G47" i="1"/>
  <c r="E47" i="1"/>
  <c r="E45" i="1"/>
  <c r="G31" i="1"/>
  <c r="E31" i="1"/>
  <c r="F20" i="1"/>
  <c r="E20" i="1"/>
  <c r="G34" i="1"/>
  <c r="E34" i="1"/>
  <c r="F49" i="1"/>
  <c r="E49" i="1"/>
  <c r="G27" i="1"/>
  <c r="E27" i="1"/>
  <c r="F91" i="1"/>
  <c r="E91" i="1"/>
  <c r="G13" i="1"/>
  <c r="E13" i="1"/>
  <c r="F10" i="1"/>
  <c r="E10" i="1"/>
  <c r="G7" i="1"/>
  <c r="E7" i="1"/>
  <c r="F16" i="1"/>
  <c r="E16" i="1"/>
  <c r="G3" i="1"/>
  <c r="E3" i="1"/>
  <c r="G230" i="1"/>
  <c r="E230" i="1"/>
  <c r="G222" i="1"/>
  <c r="E222" i="1"/>
  <c r="G210" i="1"/>
  <c r="E210" i="1"/>
  <c r="G154" i="1"/>
  <c r="E154" i="1"/>
  <c r="G142" i="1"/>
  <c r="E142" i="1"/>
  <c r="G122" i="1"/>
  <c r="E122" i="1"/>
  <c r="G78" i="1"/>
  <c r="E78" i="1"/>
  <c r="E229" i="1"/>
  <c r="E225" i="1"/>
  <c r="E221" i="1"/>
  <c r="E217" i="1"/>
  <c r="E213" i="1"/>
  <c r="E209" i="1"/>
  <c r="E205" i="1"/>
  <c r="E201" i="1"/>
  <c r="E197" i="1"/>
  <c r="E193" i="1"/>
  <c r="E189" i="1"/>
  <c r="E185" i="1"/>
  <c r="E181" i="1"/>
  <c r="E177" i="1"/>
  <c r="E173" i="1"/>
  <c r="E169" i="1"/>
  <c r="E165" i="1"/>
  <c r="E161" i="1"/>
  <c r="E157" i="1"/>
  <c r="E153" i="1"/>
  <c r="E149" i="1"/>
  <c r="E145" i="1"/>
  <c r="E141" i="1"/>
  <c r="E137" i="1"/>
  <c r="E182" i="1"/>
  <c r="E74" i="1"/>
  <c r="E159" i="1"/>
  <c r="E131" i="1"/>
  <c r="E111" i="1"/>
  <c r="E120" i="1"/>
  <c r="E73" i="1"/>
  <c r="E38" i="1"/>
  <c r="E67" i="1"/>
  <c r="E82" i="1"/>
  <c r="E56" i="1"/>
  <c r="E35" i="1"/>
  <c r="E29" i="1"/>
  <c r="E84" i="1"/>
  <c r="E8" i="1"/>
  <c r="E4" i="1"/>
  <c r="E123" i="1"/>
  <c r="E39" i="1"/>
  <c r="E96" i="1"/>
  <c r="F115" i="1"/>
  <c r="E115" i="1"/>
  <c r="E113" i="1"/>
  <c r="E21" i="1"/>
  <c r="F94" i="1"/>
  <c r="E94" i="1"/>
  <c r="F58" i="1"/>
  <c r="E58" i="1"/>
  <c r="E44" i="1"/>
  <c r="F69" i="1"/>
  <c r="E69" i="1"/>
  <c r="F46" i="1"/>
  <c r="E46" i="1"/>
  <c r="E41" i="1"/>
  <c r="F28" i="1"/>
  <c r="E28" i="1"/>
  <c r="E61" i="1"/>
  <c r="G33" i="1"/>
  <c r="E33" i="1"/>
  <c r="E23" i="1"/>
  <c r="E24" i="1"/>
  <c r="F85" i="1"/>
  <c r="E85" i="1"/>
  <c r="E42" i="1"/>
  <c r="E11" i="1"/>
  <c r="E15" i="1"/>
  <c r="F6" i="1"/>
  <c r="E6" i="1"/>
  <c r="E117" i="1"/>
  <c r="E112" i="1"/>
  <c r="G83" i="1"/>
  <c r="E83" i="1"/>
  <c r="E75" i="1"/>
  <c r="E37" i="1"/>
  <c r="E59" i="1"/>
  <c r="E93" i="1"/>
  <c r="E30" i="1"/>
  <c r="E80" i="1"/>
  <c r="E14" i="1"/>
  <c r="E12" i="1"/>
  <c r="E22" i="1"/>
  <c r="E97" i="1"/>
  <c r="E155" i="1"/>
  <c r="E127" i="1"/>
  <c r="E102" i="1"/>
  <c r="E100" i="1"/>
  <c r="E90" i="1"/>
  <c r="E26" i="1"/>
  <c r="E86" i="1"/>
  <c r="G105" i="1"/>
  <c r="F95" i="1"/>
  <c r="G5" i="1"/>
  <c r="G143" i="1"/>
  <c r="G137" i="1"/>
  <c r="F165" i="1"/>
  <c r="G177" i="1"/>
  <c r="G153" i="1"/>
  <c r="F141" i="1"/>
  <c r="G205" i="1"/>
  <c r="G42" i="1"/>
  <c r="F155" i="1"/>
  <c r="G123" i="1"/>
  <c r="F41" i="1"/>
  <c r="F120" i="1"/>
  <c r="G44" i="1"/>
  <c r="F73" i="1"/>
  <c r="F33" i="1"/>
  <c r="G41" i="1"/>
  <c r="F42" i="1"/>
  <c r="G159" i="1"/>
  <c r="F127" i="1"/>
  <c r="F44" i="1"/>
  <c r="G94" i="1"/>
  <c r="G28" i="1"/>
  <c r="G11" i="1"/>
  <c r="F189" i="1"/>
  <c r="F11" i="1"/>
  <c r="F225" i="1"/>
  <c r="G225" i="1"/>
  <c r="G165" i="1"/>
  <c r="G149" i="1"/>
  <c r="G97" i="1"/>
  <c r="G155" i="1"/>
  <c r="G115" i="1"/>
  <c r="G69" i="1"/>
  <c r="G23" i="1"/>
  <c r="F213" i="1"/>
  <c r="F157" i="1"/>
  <c r="F137" i="1"/>
  <c r="F131" i="1"/>
  <c r="F123" i="1"/>
  <c r="F23" i="1"/>
  <c r="G221" i="1"/>
  <c r="G189" i="1"/>
  <c r="G161" i="1"/>
  <c r="G145" i="1"/>
  <c r="G182" i="1"/>
  <c r="G131" i="1"/>
  <c r="G39" i="1"/>
  <c r="G113" i="1"/>
  <c r="G46" i="1"/>
  <c r="G61" i="1"/>
  <c r="G24" i="1"/>
  <c r="G15" i="1"/>
  <c r="F209" i="1"/>
  <c r="F153" i="1"/>
  <c r="F39" i="1"/>
  <c r="F113" i="1"/>
  <c r="F61" i="1"/>
  <c r="F24" i="1"/>
  <c r="F15" i="1"/>
  <c r="G209" i="1"/>
  <c r="G185" i="1"/>
  <c r="G74" i="1"/>
  <c r="G96" i="1"/>
  <c r="G21" i="1"/>
  <c r="G58" i="1"/>
  <c r="G82" i="1"/>
  <c r="G26" i="1"/>
  <c r="G85" i="1"/>
  <c r="G6" i="1"/>
  <c r="F197" i="1"/>
  <c r="F169" i="1"/>
  <c r="F149" i="1"/>
  <c r="F96" i="1"/>
  <c r="F21" i="1"/>
  <c r="F26" i="1"/>
  <c r="G104" i="1"/>
  <c r="T110" i="1"/>
  <c r="G37" i="1"/>
  <c r="G121" i="1"/>
  <c r="F30" i="1"/>
  <c r="T19" i="1"/>
  <c r="G130" i="1"/>
  <c r="G99" i="1"/>
  <c r="F231" i="1"/>
  <c r="F108" i="1"/>
  <c r="S174" i="1"/>
  <c r="T66" i="1"/>
  <c r="Y28" i="1"/>
  <c r="G92" i="1"/>
  <c r="F47" i="1"/>
  <c r="G79" i="1"/>
  <c r="G63" i="1"/>
  <c r="F119" i="1"/>
  <c r="F68" i="1"/>
  <c r="S70" i="1"/>
  <c r="G116" i="1"/>
  <c r="G48" i="1"/>
  <c r="F219" i="1"/>
  <c r="F147" i="1"/>
  <c r="F54" i="1"/>
  <c r="F32" i="1"/>
  <c r="T103" i="1"/>
  <c r="G229" i="1"/>
  <c r="G217" i="1"/>
  <c r="G207" i="1"/>
  <c r="G187" i="1"/>
  <c r="G179" i="1"/>
  <c r="G51" i="1"/>
  <c r="G151" i="1"/>
  <c r="G180" i="1"/>
  <c r="G171" i="1"/>
  <c r="G45" i="1"/>
  <c r="G20" i="1"/>
  <c r="G49" i="1"/>
  <c r="G91" i="1"/>
  <c r="G10" i="1"/>
  <c r="G16" i="1"/>
  <c r="F217" i="1"/>
  <c r="F205" i="1"/>
  <c r="F195" i="1"/>
  <c r="F185" i="1"/>
  <c r="F176" i="1"/>
  <c r="F167" i="1"/>
  <c r="F128" i="1"/>
  <c r="F72" i="1"/>
  <c r="F31" i="1"/>
  <c r="F34" i="1"/>
  <c r="I34" i="1" s="1"/>
  <c r="F27" i="1"/>
  <c r="F13" i="1"/>
  <c r="F7" i="1"/>
  <c r="F3" i="1"/>
  <c r="S222" i="1"/>
  <c r="S158" i="1"/>
  <c r="S118" i="1"/>
  <c r="T43" i="1"/>
  <c r="T9" i="1"/>
  <c r="X119" i="1"/>
  <c r="X15" i="1"/>
  <c r="Y11" i="1"/>
  <c r="G215" i="1"/>
  <c r="G195" i="1"/>
  <c r="G72" i="1"/>
  <c r="G101" i="1"/>
  <c r="G119" i="1"/>
  <c r="G108" i="1"/>
  <c r="G32" i="1"/>
  <c r="F180" i="1"/>
  <c r="F63" i="1"/>
  <c r="S206" i="1"/>
  <c r="S142" i="1"/>
  <c r="T194" i="1"/>
  <c r="X94" i="1"/>
  <c r="X6" i="1"/>
  <c r="Z47" i="1"/>
  <c r="G132" i="1"/>
  <c r="G95" i="1"/>
  <c r="F203" i="1"/>
  <c r="F183" i="1"/>
  <c r="F175" i="1"/>
  <c r="F116" i="1"/>
  <c r="F48" i="1"/>
  <c r="G223" i="1"/>
  <c r="G201" i="1"/>
  <c r="G193" i="1"/>
  <c r="G181" i="1"/>
  <c r="G173" i="1"/>
  <c r="G163" i="1"/>
  <c r="G128" i="1"/>
  <c r="G135" i="1"/>
  <c r="G133" i="1"/>
  <c r="F211" i="1"/>
  <c r="F191" i="1"/>
  <c r="F173" i="1"/>
  <c r="F139" i="1"/>
  <c r="F133" i="1"/>
  <c r="F55" i="1"/>
  <c r="F45" i="1"/>
  <c r="S190" i="1"/>
  <c r="S53" i="1"/>
  <c r="T162" i="1"/>
  <c r="T76" i="1"/>
  <c r="Y108" i="1"/>
  <c r="Z13" i="1"/>
  <c r="G228" i="1"/>
  <c r="F224" i="1"/>
  <c r="S218" i="1"/>
  <c r="S52" i="1"/>
  <c r="S186" i="1"/>
  <c r="S129" i="1"/>
  <c r="S154" i="1"/>
  <c r="S138" i="1"/>
  <c r="S170" i="1"/>
  <c r="S124" i="1"/>
  <c r="S78" i="1"/>
  <c r="T186" i="1"/>
  <c r="T154" i="1"/>
  <c r="T170" i="1"/>
  <c r="T78" i="1"/>
  <c r="X108" i="1"/>
  <c r="X58" i="1"/>
  <c r="X28" i="1"/>
  <c r="X13" i="1"/>
  <c r="Y32" i="1"/>
  <c r="Y34" i="1"/>
  <c r="Y3" i="1"/>
  <c r="Z61" i="1"/>
  <c r="Z15" i="1"/>
  <c r="G164" i="1"/>
  <c r="F160" i="1"/>
  <c r="F102" i="1"/>
  <c r="G227" i="1"/>
  <c r="G212" i="1"/>
  <c r="G183" i="1"/>
  <c r="G148" i="1"/>
  <c r="G59" i="1"/>
  <c r="G84" i="1"/>
  <c r="F215" i="1"/>
  <c r="F208" i="1"/>
  <c r="F51" i="1"/>
  <c r="F144" i="1"/>
  <c r="F100" i="1"/>
  <c r="F12" i="1"/>
  <c r="S230" i="1"/>
  <c r="S214" i="1"/>
  <c r="S198" i="1"/>
  <c r="S60" i="1"/>
  <c r="S166" i="1"/>
  <c r="S150" i="1"/>
  <c r="S134" i="1"/>
  <c r="S106" i="1"/>
  <c r="S122" i="1"/>
  <c r="T210" i="1"/>
  <c r="T178" i="1"/>
  <c r="T146" i="1"/>
  <c r="T64" i="1"/>
  <c r="T107" i="1"/>
  <c r="T109" i="1"/>
  <c r="T36" i="1"/>
  <c r="X171" i="1"/>
  <c r="X61" i="1"/>
  <c r="X3" i="1"/>
  <c r="Y69" i="1"/>
  <c r="Y23" i="1"/>
  <c r="Z32" i="1"/>
  <c r="Z34" i="1"/>
  <c r="G111" i="1"/>
  <c r="G35" i="1"/>
  <c r="F86" i="1"/>
  <c r="G211" i="1"/>
  <c r="G196" i="1"/>
  <c r="G167" i="1"/>
  <c r="G139" i="1"/>
  <c r="G202" i="1"/>
  <c r="G38" i="1"/>
  <c r="G4" i="1"/>
  <c r="F227" i="1"/>
  <c r="F192" i="1"/>
  <c r="F199" i="1"/>
  <c r="F83" i="1"/>
  <c r="S226" i="1"/>
  <c r="S210" i="1"/>
  <c r="S194" i="1"/>
  <c r="S178" i="1"/>
  <c r="S162" i="1"/>
  <c r="S146" i="1"/>
  <c r="S103" i="1"/>
  <c r="S64" i="1"/>
  <c r="S43" i="1"/>
  <c r="T52" i="1"/>
  <c r="T129" i="1"/>
  <c r="T138" i="1"/>
  <c r="T124" i="1"/>
  <c r="T89" i="1"/>
  <c r="T62" i="1"/>
  <c r="X101" i="1"/>
  <c r="X73" i="1"/>
  <c r="X47" i="1"/>
  <c r="X26" i="1"/>
  <c r="X11" i="1"/>
  <c r="Z46" i="1"/>
  <c r="Z24" i="1"/>
  <c r="S59" i="1"/>
  <c r="S90" i="1"/>
  <c r="S38" i="1"/>
  <c r="S67" i="1"/>
  <c r="S37" i="1"/>
  <c r="S56" i="1"/>
  <c r="S35" i="1"/>
  <c r="S29" i="1"/>
  <c r="S84" i="1"/>
  <c r="S8" i="1"/>
  <c r="S4" i="1"/>
  <c r="T226" i="1"/>
  <c r="T218" i="1"/>
  <c r="Z232" i="1"/>
  <c r="Y232" i="1"/>
  <c r="X232" i="1"/>
  <c r="Z228" i="1"/>
  <c r="X228" i="1"/>
  <c r="Y228" i="1"/>
  <c r="Z224" i="1"/>
  <c r="Y224" i="1"/>
  <c r="X224" i="1"/>
  <c r="Z220" i="1"/>
  <c r="Y220" i="1"/>
  <c r="X220" i="1"/>
  <c r="Z216" i="1"/>
  <c r="Y216" i="1"/>
  <c r="X216" i="1"/>
  <c r="Z212" i="1"/>
  <c r="X212" i="1"/>
  <c r="Y212" i="1"/>
  <c r="Z208" i="1"/>
  <c r="Y208" i="1"/>
  <c r="X208" i="1"/>
  <c r="Z204" i="1"/>
  <c r="Y204" i="1"/>
  <c r="X204" i="1"/>
  <c r="Z200" i="1"/>
  <c r="Y200" i="1"/>
  <c r="X200" i="1"/>
  <c r="Z196" i="1"/>
  <c r="Y196" i="1"/>
  <c r="X196" i="1"/>
  <c r="Z192" i="1"/>
  <c r="X192" i="1"/>
  <c r="Y192" i="1"/>
  <c r="Z188" i="1"/>
  <c r="Y188" i="1"/>
  <c r="X188" i="1"/>
  <c r="Z184" i="1"/>
  <c r="Y184" i="1"/>
  <c r="X184" i="1"/>
  <c r="Z121" i="1"/>
  <c r="Y121" i="1"/>
  <c r="X121" i="1"/>
  <c r="Z176" i="1"/>
  <c r="Y176" i="1"/>
  <c r="X176" i="1"/>
  <c r="Z172" i="1"/>
  <c r="Y172" i="1"/>
  <c r="X172" i="1"/>
  <c r="Z168" i="1"/>
  <c r="Y168" i="1"/>
  <c r="X168" i="1"/>
  <c r="Z164" i="1"/>
  <c r="Y164" i="1"/>
  <c r="X164" i="1"/>
  <c r="Z160" i="1"/>
  <c r="X160" i="1"/>
  <c r="Y160" i="1"/>
  <c r="Z156" i="1"/>
  <c r="Y156" i="1"/>
  <c r="X156" i="1"/>
  <c r="Z152" i="1"/>
  <c r="Y152" i="1"/>
  <c r="X152" i="1"/>
  <c r="Z148" i="1"/>
  <c r="Y148" i="1"/>
  <c r="X148" i="1"/>
  <c r="Z144" i="1"/>
  <c r="Y144" i="1"/>
  <c r="X144" i="1"/>
  <c r="Z140" i="1"/>
  <c r="Y140" i="1"/>
  <c r="X140" i="1"/>
  <c r="G232" i="1"/>
  <c r="G216" i="1"/>
  <c r="G200" i="1"/>
  <c r="G184" i="1"/>
  <c r="G168" i="1"/>
  <c r="G152" i="1"/>
  <c r="G136" i="1"/>
  <c r="G88" i="1"/>
  <c r="G125" i="1"/>
  <c r="G112" i="1"/>
  <c r="G93" i="1"/>
  <c r="G75" i="1"/>
  <c r="G80" i="1"/>
  <c r="G14" i="1"/>
  <c r="G22" i="1"/>
  <c r="F228" i="1"/>
  <c r="F212" i="1"/>
  <c r="F196" i="1"/>
  <c r="F121" i="1"/>
  <c r="F164" i="1"/>
  <c r="F148" i="1"/>
  <c r="F202" i="1"/>
  <c r="F104" i="1"/>
  <c r="F111" i="1"/>
  <c r="F59" i="1"/>
  <c r="F38" i="1"/>
  <c r="F37" i="1"/>
  <c r="F35" i="1"/>
  <c r="F84" i="1"/>
  <c r="F4" i="1"/>
  <c r="R231" i="1"/>
  <c r="T231" i="1"/>
  <c r="R227" i="1"/>
  <c r="T227" i="1"/>
  <c r="R223" i="1"/>
  <c r="T223" i="1"/>
  <c r="R219" i="1"/>
  <c r="T219" i="1"/>
  <c r="R215" i="1"/>
  <c r="T215" i="1"/>
  <c r="R211" i="1"/>
  <c r="T211" i="1"/>
  <c r="R207" i="1"/>
  <c r="T207" i="1"/>
  <c r="R203" i="1"/>
  <c r="T203" i="1"/>
  <c r="R5" i="1"/>
  <c r="T5" i="1"/>
  <c r="R195" i="1"/>
  <c r="T195" i="1"/>
  <c r="R191" i="1"/>
  <c r="T191" i="1"/>
  <c r="R187" i="1"/>
  <c r="T187" i="1"/>
  <c r="R183" i="1"/>
  <c r="T183" i="1"/>
  <c r="R179" i="1"/>
  <c r="T179" i="1"/>
  <c r="R175" i="1"/>
  <c r="T175" i="1"/>
  <c r="R92" i="1"/>
  <c r="T92" i="1"/>
  <c r="R167" i="1"/>
  <c r="T167" i="1"/>
  <c r="R163" i="1"/>
  <c r="T163" i="1"/>
  <c r="R51" i="1"/>
  <c r="T51" i="1"/>
  <c r="R128" i="1"/>
  <c r="T128" i="1"/>
  <c r="R151" i="1"/>
  <c r="T151" i="1"/>
  <c r="R147" i="1"/>
  <c r="T147" i="1"/>
  <c r="R143" i="1"/>
  <c r="T143" i="1"/>
  <c r="R139" i="1"/>
  <c r="T139" i="1"/>
  <c r="R135" i="1"/>
  <c r="T135" i="1"/>
  <c r="R180" i="1"/>
  <c r="T180" i="1"/>
  <c r="R54" i="1"/>
  <c r="T54" i="1"/>
  <c r="R171" i="1"/>
  <c r="T171" i="1"/>
  <c r="R133" i="1"/>
  <c r="T133" i="1"/>
  <c r="R72" i="1"/>
  <c r="T72" i="1"/>
  <c r="R130" i="1"/>
  <c r="T130" i="1"/>
  <c r="R101" i="1"/>
  <c r="T101" i="1"/>
  <c r="R55" i="1"/>
  <c r="T55" i="1"/>
  <c r="R132" i="1"/>
  <c r="T132" i="1"/>
  <c r="R116" i="1"/>
  <c r="T116" i="1"/>
  <c r="R119" i="1"/>
  <c r="T119" i="1"/>
  <c r="R79" i="1"/>
  <c r="T79" i="1"/>
  <c r="R108" i="1"/>
  <c r="S108" i="1"/>
  <c r="T108" i="1"/>
  <c r="R99" i="1"/>
  <c r="S99" i="1"/>
  <c r="T99" i="1"/>
  <c r="R95" i="1"/>
  <c r="S95" i="1"/>
  <c r="T95" i="1"/>
  <c r="R105" i="1"/>
  <c r="S105" i="1"/>
  <c r="T105" i="1"/>
  <c r="R32" i="1"/>
  <c r="S32" i="1"/>
  <c r="T32" i="1"/>
  <c r="R48" i="1"/>
  <c r="S48" i="1"/>
  <c r="T48" i="1"/>
  <c r="R68" i="1"/>
  <c r="S68" i="1"/>
  <c r="T68" i="1"/>
  <c r="R63" i="1"/>
  <c r="S63" i="1"/>
  <c r="T63" i="1"/>
  <c r="R47" i="1"/>
  <c r="S47" i="1"/>
  <c r="T47" i="1"/>
  <c r="R45" i="1"/>
  <c r="S45" i="1"/>
  <c r="T45" i="1"/>
  <c r="R31" i="1"/>
  <c r="S31" i="1"/>
  <c r="T31" i="1"/>
  <c r="R20" i="1"/>
  <c r="S20" i="1"/>
  <c r="T20" i="1"/>
  <c r="R34" i="1"/>
  <c r="S34" i="1"/>
  <c r="T34" i="1"/>
  <c r="R49" i="1"/>
  <c r="S49" i="1"/>
  <c r="T49" i="1"/>
  <c r="R27" i="1"/>
  <c r="S27" i="1"/>
  <c r="T27" i="1"/>
  <c r="R91" i="1"/>
  <c r="S91" i="1"/>
  <c r="T91" i="1"/>
  <c r="R13" i="1"/>
  <c r="S13" i="1"/>
  <c r="T13" i="1"/>
  <c r="R10" i="1"/>
  <c r="S10" i="1"/>
  <c r="T10" i="1"/>
  <c r="R7" i="1"/>
  <c r="S7" i="1"/>
  <c r="T7" i="1"/>
  <c r="R16" i="1"/>
  <c r="S16" i="1"/>
  <c r="T16" i="1"/>
  <c r="R3" i="1"/>
  <c r="S3" i="1"/>
  <c r="T3" i="1"/>
  <c r="S112" i="1"/>
  <c r="S107" i="1"/>
  <c r="S89" i="1"/>
  <c r="S110" i="1"/>
  <c r="S76" i="1"/>
  <c r="S109" i="1"/>
  <c r="S62" i="1"/>
  <c r="S66" i="1"/>
  <c r="S9" i="1"/>
  <c r="S36" i="1"/>
  <c r="S19" i="1"/>
  <c r="T232" i="1"/>
  <c r="T224" i="1"/>
  <c r="T216" i="1"/>
  <c r="T208" i="1"/>
  <c r="T200" i="1"/>
  <c r="T192" i="1"/>
  <c r="T184" i="1"/>
  <c r="T176" i="1"/>
  <c r="T168" i="1"/>
  <c r="T160" i="1"/>
  <c r="T152" i="1"/>
  <c r="T144" i="1"/>
  <c r="T136" i="1"/>
  <c r="T199" i="1"/>
  <c r="T88" i="1"/>
  <c r="T71" i="1"/>
  <c r="T125" i="1"/>
  <c r="T102" i="1"/>
  <c r="T112" i="1"/>
  <c r="T100" i="1"/>
  <c r="T93" i="1"/>
  <c r="T83" i="1"/>
  <c r="T75" i="1"/>
  <c r="T30" i="1"/>
  <c r="T80" i="1"/>
  <c r="T86" i="1"/>
  <c r="T14" i="1"/>
  <c r="T12" i="1"/>
  <c r="T22" i="1"/>
  <c r="G204" i="1"/>
  <c r="G188" i="1"/>
  <c r="G156" i="1"/>
  <c r="G81" i="1"/>
  <c r="G126" i="1"/>
  <c r="G117" i="1"/>
  <c r="G67" i="1"/>
  <c r="G56" i="1"/>
  <c r="G29" i="1"/>
  <c r="G8" i="1"/>
  <c r="F232" i="1"/>
  <c r="F216" i="1"/>
  <c r="F200" i="1"/>
  <c r="F184" i="1"/>
  <c r="F168" i="1"/>
  <c r="F152" i="1"/>
  <c r="F136" i="1"/>
  <c r="F88" i="1"/>
  <c r="F125" i="1"/>
  <c r="F112" i="1"/>
  <c r="F93" i="1"/>
  <c r="F75" i="1"/>
  <c r="F80" i="1"/>
  <c r="F14" i="1"/>
  <c r="F22" i="1"/>
  <c r="S232" i="1"/>
  <c r="S228" i="1"/>
  <c r="S224" i="1"/>
  <c r="S220" i="1"/>
  <c r="S216" i="1"/>
  <c r="S212" i="1"/>
  <c r="S208" i="1"/>
  <c r="S204" i="1"/>
  <c r="S200" i="1"/>
  <c r="S196" i="1"/>
  <c r="S192" i="1"/>
  <c r="S188" i="1"/>
  <c r="S184" i="1"/>
  <c r="S121" i="1"/>
  <c r="S176" i="1"/>
  <c r="S172" i="1"/>
  <c r="S168" i="1"/>
  <c r="S164" i="1"/>
  <c r="S160" i="1"/>
  <c r="S156" i="1"/>
  <c r="S152" i="1"/>
  <c r="S148" i="1"/>
  <c r="S144" i="1"/>
  <c r="S140" i="1"/>
  <c r="S136" i="1"/>
  <c r="S202" i="1"/>
  <c r="S199" i="1"/>
  <c r="S81" i="1"/>
  <c r="S88" i="1"/>
  <c r="S104" i="1"/>
  <c r="S71" i="1"/>
  <c r="S126" i="1"/>
  <c r="S125" i="1"/>
  <c r="S111" i="1"/>
  <c r="S102" i="1"/>
  <c r="S117" i="1"/>
  <c r="S79" i="1"/>
  <c r="S100" i="1"/>
  <c r="S93" i="1"/>
  <c r="S83" i="1"/>
  <c r="S75" i="1"/>
  <c r="S30" i="1"/>
  <c r="S80" i="1"/>
  <c r="S86" i="1"/>
  <c r="S14" i="1"/>
  <c r="S12" i="1"/>
  <c r="S22" i="1"/>
  <c r="T230" i="1"/>
  <c r="T222" i="1"/>
  <c r="T214" i="1"/>
  <c r="T206" i="1"/>
  <c r="T198" i="1"/>
  <c r="T190" i="1"/>
  <c r="T60" i="1"/>
  <c r="T174" i="1"/>
  <c r="T166" i="1"/>
  <c r="T158" i="1"/>
  <c r="T150" i="1"/>
  <c r="T142" i="1"/>
  <c r="T134" i="1"/>
  <c r="T53" i="1"/>
  <c r="T106" i="1"/>
  <c r="T70" i="1"/>
  <c r="T122" i="1"/>
  <c r="T118" i="1"/>
  <c r="T114" i="1"/>
  <c r="T98" i="1"/>
  <c r="T77" i="1"/>
  <c r="T57" i="1"/>
  <c r="T50" i="1"/>
  <c r="T40" i="1"/>
  <c r="T25" i="1"/>
  <c r="T65" i="1"/>
  <c r="T87" i="1"/>
  <c r="T17" i="1"/>
  <c r="T18" i="1"/>
  <c r="Y230" i="1"/>
  <c r="X230" i="1"/>
  <c r="Z230" i="1"/>
  <c r="Y226" i="1"/>
  <c r="Z226" i="1"/>
  <c r="X226" i="1"/>
  <c r="Y222" i="1"/>
  <c r="Z222" i="1"/>
  <c r="X222" i="1"/>
  <c r="Y218" i="1"/>
  <c r="Z218" i="1"/>
  <c r="X218" i="1"/>
  <c r="Y214" i="1"/>
  <c r="Z214" i="1"/>
  <c r="X214" i="1"/>
  <c r="Y210" i="1"/>
  <c r="Z210" i="1"/>
  <c r="X210" i="1"/>
  <c r="Y206" i="1"/>
  <c r="Z206" i="1"/>
  <c r="X206" i="1"/>
  <c r="Y52" i="1"/>
  <c r="Z52" i="1"/>
  <c r="X52" i="1"/>
  <c r="Y198" i="1"/>
  <c r="X198" i="1"/>
  <c r="Z198" i="1"/>
  <c r="Y194" i="1"/>
  <c r="Z194" i="1"/>
  <c r="X194" i="1"/>
  <c r="Y190" i="1"/>
  <c r="Z190" i="1"/>
  <c r="X190" i="1"/>
  <c r="Y186" i="1"/>
  <c r="Z186" i="1"/>
  <c r="X186" i="1"/>
  <c r="Y60" i="1"/>
  <c r="Z60" i="1"/>
  <c r="X60" i="1"/>
  <c r="Y178" i="1"/>
  <c r="Z178" i="1"/>
  <c r="X178" i="1"/>
  <c r="Y174" i="1"/>
  <c r="Z174" i="1"/>
  <c r="X174" i="1"/>
  <c r="Y129" i="1"/>
  <c r="Z129" i="1"/>
  <c r="X129" i="1"/>
  <c r="Y166" i="1"/>
  <c r="X166" i="1"/>
  <c r="Z166" i="1"/>
  <c r="Y162" i="1"/>
  <c r="Z162" i="1"/>
  <c r="X162" i="1"/>
  <c r="Y158" i="1"/>
  <c r="Z158" i="1"/>
  <c r="X158" i="1"/>
  <c r="G220" i="1"/>
  <c r="G172" i="1"/>
  <c r="G140" i="1"/>
  <c r="G90" i="1"/>
  <c r="R229" i="1"/>
  <c r="T229" i="1"/>
  <c r="R225" i="1"/>
  <c r="T225" i="1"/>
  <c r="R221" i="1"/>
  <c r="T221" i="1"/>
  <c r="R217" i="1"/>
  <c r="T217" i="1"/>
  <c r="R213" i="1"/>
  <c r="T213" i="1"/>
  <c r="R209" i="1"/>
  <c r="T209" i="1"/>
  <c r="R205" i="1"/>
  <c r="T205" i="1"/>
  <c r="R201" i="1"/>
  <c r="T201" i="1"/>
  <c r="R197" i="1"/>
  <c r="T197" i="1"/>
  <c r="R193" i="1"/>
  <c r="T193" i="1"/>
  <c r="R189" i="1"/>
  <c r="T189" i="1"/>
  <c r="R185" i="1"/>
  <c r="T185" i="1"/>
  <c r="R181" i="1"/>
  <c r="T181" i="1"/>
  <c r="R177" i="1"/>
  <c r="T177" i="1"/>
  <c r="R173" i="1"/>
  <c r="T173" i="1"/>
  <c r="R169" i="1"/>
  <c r="T169" i="1"/>
  <c r="R165" i="1"/>
  <c r="T165" i="1"/>
  <c r="R161" i="1"/>
  <c r="T161" i="1"/>
  <c r="R157" i="1"/>
  <c r="T157" i="1"/>
  <c r="R153" i="1"/>
  <c r="T153" i="1"/>
  <c r="R149" i="1"/>
  <c r="T149" i="1"/>
  <c r="R145" i="1"/>
  <c r="T145" i="1"/>
  <c r="R141" i="1"/>
  <c r="T141" i="1"/>
  <c r="R137" i="1"/>
  <c r="T137" i="1"/>
  <c r="R97" i="1"/>
  <c r="T97" i="1"/>
  <c r="R182" i="1"/>
  <c r="T182" i="1"/>
  <c r="R74" i="1"/>
  <c r="T74" i="1"/>
  <c r="R159" i="1"/>
  <c r="T159" i="1"/>
  <c r="R155" i="1"/>
  <c r="T155" i="1"/>
  <c r="R131" i="1"/>
  <c r="T131" i="1"/>
  <c r="R127" i="1"/>
  <c r="T127" i="1"/>
  <c r="R123" i="1"/>
  <c r="T123" i="1"/>
  <c r="R39" i="1"/>
  <c r="T39" i="1"/>
  <c r="R96" i="1"/>
  <c r="T96" i="1"/>
  <c r="R120" i="1"/>
  <c r="T120" i="1"/>
  <c r="R115" i="1"/>
  <c r="T115" i="1"/>
  <c r="S115" i="1"/>
  <c r="R113" i="1"/>
  <c r="T113" i="1"/>
  <c r="S113" i="1"/>
  <c r="R21" i="1"/>
  <c r="T21" i="1"/>
  <c r="S21" i="1"/>
  <c r="R73" i="1"/>
  <c r="T73" i="1"/>
  <c r="S73" i="1"/>
  <c r="R94" i="1"/>
  <c r="T94" i="1"/>
  <c r="S94" i="1"/>
  <c r="R58" i="1"/>
  <c r="T58" i="1"/>
  <c r="S58" i="1"/>
  <c r="R44" i="1"/>
  <c r="T44" i="1"/>
  <c r="S44" i="1"/>
  <c r="R69" i="1"/>
  <c r="T69" i="1"/>
  <c r="S69" i="1"/>
  <c r="R46" i="1"/>
  <c r="T46" i="1"/>
  <c r="S46" i="1"/>
  <c r="R82" i="1"/>
  <c r="T82" i="1"/>
  <c r="S82" i="1"/>
  <c r="R41" i="1"/>
  <c r="T41" i="1"/>
  <c r="S41" i="1"/>
  <c r="R28" i="1"/>
  <c r="T28" i="1"/>
  <c r="S28" i="1"/>
  <c r="R61" i="1"/>
  <c r="T61" i="1"/>
  <c r="S61" i="1"/>
  <c r="R26" i="1"/>
  <c r="T26" i="1"/>
  <c r="S26" i="1"/>
  <c r="R33" i="1"/>
  <c r="T33" i="1"/>
  <c r="S33" i="1"/>
  <c r="R23" i="1"/>
  <c r="T23" i="1"/>
  <c r="S23" i="1"/>
  <c r="R24" i="1"/>
  <c r="T24" i="1"/>
  <c r="S24" i="1"/>
  <c r="R85" i="1"/>
  <c r="T85" i="1"/>
  <c r="S85" i="1"/>
  <c r="R42" i="1"/>
  <c r="T42" i="1"/>
  <c r="S42" i="1"/>
  <c r="R11" i="1"/>
  <c r="T11" i="1"/>
  <c r="S11" i="1"/>
  <c r="R15" i="1"/>
  <c r="T15" i="1"/>
  <c r="S15" i="1"/>
  <c r="R6" i="1"/>
  <c r="T6" i="1"/>
  <c r="S6" i="1"/>
  <c r="S231" i="1"/>
  <c r="S227" i="1"/>
  <c r="S223" i="1"/>
  <c r="S219" i="1"/>
  <c r="S215" i="1"/>
  <c r="S211" i="1"/>
  <c r="S207" i="1"/>
  <c r="S203" i="1"/>
  <c r="S5" i="1"/>
  <c r="S195" i="1"/>
  <c r="S191" i="1"/>
  <c r="S187" i="1"/>
  <c r="S183" i="1"/>
  <c r="S179" i="1"/>
  <c r="S175" i="1"/>
  <c r="S92" i="1"/>
  <c r="S167" i="1"/>
  <c r="S163" i="1"/>
  <c r="S51" i="1"/>
  <c r="S128" i="1"/>
  <c r="S151" i="1"/>
  <c r="S147" i="1"/>
  <c r="S143" i="1"/>
  <c r="S139" i="1"/>
  <c r="S135" i="1"/>
  <c r="S180" i="1"/>
  <c r="S54" i="1"/>
  <c r="S171" i="1"/>
  <c r="S133" i="1"/>
  <c r="S72" i="1"/>
  <c r="S130" i="1"/>
  <c r="S101" i="1"/>
  <c r="S55" i="1"/>
  <c r="S132" i="1"/>
  <c r="S116" i="1"/>
  <c r="S119" i="1"/>
  <c r="S114" i="1"/>
  <c r="S98" i="1"/>
  <c r="S77" i="1"/>
  <c r="S57" i="1"/>
  <c r="S50" i="1"/>
  <c r="S40" i="1"/>
  <c r="S25" i="1"/>
  <c r="S65" i="1"/>
  <c r="S87" i="1"/>
  <c r="S17" i="1"/>
  <c r="S18" i="1"/>
  <c r="T228" i="1"/>
  <c r="T220" i="1"/>
  <c r="T212" i="1"/>
  <c r="T204" i="1"/>
  <c r="T196" i="1"/>
  <c r="T188" i="1"/>
  <c r="T121" i="1"/>
  <c r="T172" i="1"/>
  <c r="T164" i="1"/>
  <c r="T156" i="1"/>
  <c r="T148" i="1"/>
  <c r="T140" i="1"/>
  <c r="T202" i="1"/>
  <c r="T81" i="1"/>
  <c r="T104" i="1"/>
  <c r="T126" i="1"/>
  <c r="T111" i="1"/>
  <c r="T117" i="1"/>
  <c r="T59" i="1"/>
  <c r="T90" i="1"/>
  <c r="T38" i="1"/>
  <c r="T67" i="1"/>
  <c r="T37" i="1"/>
  <c r="T56" i="1"/>
  <c r="T35" i="1"/>
  <c r="T29" i="1"/>
  <c r="T84" i="1"/>
  <c r="T8" i="1"/>
  <c r="T4" i="1"/>
  <c r="Y154" i="1"/>
  <c r="Z154" i="1"/>
  <c r="Y146" i="1"/>
  <c r="Z146" i="1"/>
  <c r="Y138" i="1"/>
  <c r="Z138" i="1"/>
  <c r="Y103" i="1"/>
  <c r="Z103" i="1"/>
  <c r="Y170" i="1"/>
  <c r="Z170" i="1"/>
  <c r="Y64" i="1"/>
  <c r="Z64" i="1"/>
  <c r="Y124" i="1"/>
  <c r="Z124" i="1"/>
  <c r="Y43" i="1"/>
  <c r="Z43" i="1"/>
  <c r="Y78" i="1"/>
  <c r="Z78" i="1"/>
  <c r="Y107" i="1"/>
  <c r="Z107" i="1"/>
  <c r="Y89" i="1"/>
  <c r="Z89" i="1"/>
  <c r="Y77" i="1"/>
  <c r="X77" i="1"/>
  <c r="Y110" i="1"/>
  <c r="Z110" i="1"/>
  <c r="Y76" i="1"/>
  <c r="Z76" i="1"/>
  <c r="Y50" i="1"/>
  <c r="X50" i="1"/>
  <c r="Y109" i="1"/>
  <c r="Z109" i="1"/>
  <c r="Y62" i="1"/>
  <c r="Z62" i="1"/>
  <c r="Y25" i="1"/>
  <c r="X25" i="1"/>
  <c r="Y66" i="1"/>
  <c r="Z66" i="1"/>
  <c r="Y9" i="1"/>
  <c r="Z9" i="1"/>
  <c r="Y87" i="1"/>
  <c r="X87" i="1"/>
  <c r="Y36" i="1"/>
  <c r="Z36" i="1"/>
  <c r="Y19" i="1"/>
  <c r="Z19" i="1"/>
  <c r="Y18" i="1"/>
  <c r="X18" i="1"/>
  <c r="X227" i="1"/>
  <c r="X211" i="1"/>
  <c r="X195" i="1"/>
  <c r="X179" i="1"/>
  <c r="X163" i="1"/>
  <c r="X147" i="1"/>
  <c r="X142" i="1"/>
  <c r="X136" i="1"/>
  <c r="X180" i="1"/>
  <c r="X53" i="1"/>
  <c r="X88" i="1"/>
  <c r="X72" i="1"/>
  <c r="X70" i="1"/>
  <c r="X125" i="1"/>
  <c r="X132" i="1"/>
  <c r="X118" i="1"/>
  <c r="X112" i="1"/>
  <c r="X57" i="1"/>
  <c r="X66" i="1"/>
  <c r="X9" i="1"/>
  <c r="Y195" i="1"/>
  <c r="Y163" i="1"/>
  <c r="Y180" i="1"/>
  <c r="Y88" i="1"/>
  <c r="Y132" i="1"/>
  <c r="Y112" i="1"/>
  <c r="Y73" i="1"/>
  <c r="Z211" i="1"/>
  <c r="Z179" i="1"/>
  <c r="Z147" i="1"/>
  <c r="Z53" i="1"/>
  <c r="Z72" i="1"/>
  <c r="Z118" i="1"/>
  <c r="Z94" i="1"/>
  <c r="Z57" i="1"/>
  <c r="Z65" i="1"/>
  <c r="AE231" i="1"/>
  <c r="AF231" i="1" s="1"/>
  <c r="AD231" i="1"/>
  <c r="AE227" i="1"/>
  <c r="AF227" i="1" s="1"/>
  <c r="AD227" i="1"/>
  <c r="AE223" i="1"/>
  <c r="AF223" i="1" s="1"/>
  <c r="AD223" i="1"/>
  <c r="AE219" i="1"/>
  <c r="AF219" i="1" s="1"/>
  <c r="AD219" i="1"/>
  <c r="AE215" i="1"/>
  <c r="AF215" i="1" s="1"/>
  <c r="AD215" i="1"/>
  <c r="AD211" i="1"/>
  <c r="AE211" i="1"/>
  <c r="AF211" i="1" s="1"/>
  <c r="AE207" i="1"/>
  <c r="AF207" i="1" s="1"/>
  <c r="AD207" i="1"/>
  <c r="AE203" i="1"/>
  <c r="AF203" i="1" s="1"/>
  <c r="AD203" i="1"/>
  <c r="AE5" i="1"/>
  <c r="AF5" i="1" s="1"/>
  <c r="AD5" i="1"/>
  <c r="AE195" i="1"/>
  <c r="AF195" i="1" s="1"/>
  <c r="AD195" i="1"/>
  <c r="AE191" i="1"/>
  <c r="AF191" i="1" s="1"/>
  <c r="AD191" i="1"/>
  <c r="AE187" i="1"/>
  <c r="AF187" i="1" s="1"/>
  <c r="AD187" i="1"/>
  <c r="AE183" i="1"/>
  <c r="AF183" i="1" s="1"/>
  <c r="AD183" i="1"/>
  <c r="AD179" i="1"/>
  <c r="AE179" i="1"/>
  <c r="AF179" i="1" s="1"/>
  <c r="AE175" i="1"/>
  <c r="AF175" i="1" s="1"/>
  <c r="AD175" i="1"/>
  <c r="AE92" i="1"/>
  <c r="AF92" i="1" s="1"/>
  <c r="AD92" i="1"/>
  <c r="AE167" i="1"/>
  <c r="AF167" i="1" s="1"/>
  <c r="AD167" i="1"/>
  <c r="AE163" i="1"/>
  <c r="AF163" i="1" s="1"/>
  <c r="AD163" i="1"/>
  <c r="AE51" i="1"/>
  <c r="AF51" i="1" s="1"/>
  <c r="AD51" i="1"/>
  <c r="X229" i="1"/>
  <c r="Z229" i="1"/>
  <c r="Y225" i="1"/>
  <c r="X225" i="1"/>
  <c r="Z221" i="1"/>
  <c r="X221" i="1"/>
  <c r="X213" i="1"/>
  <c r="Z213" i="1"/>
  <c r="Y209" i="1"/>
  <c r="X209" i="1"/>
  <c r="Z205" i="1"/>
  <c r="X205" i="1"/>
  <c r="X201" i="1"/>
  <c r="Y201" i="1"/>
  <c r="X197" i="1"/>
  <c r="Z197" i="1"/>
  <c r="Y193" i="1"/>
  <c r="X193" i="1"/>
  <c r="Z189" i="1"/>
  <c r="X189" i="1"/>
  <c r="X185" i="1"/>
  <c r="Y185" i="1"/>
  <c r="X181" i="1"/>
  <c r="Z181" i="1"/>
  <c r="Y177" i="1"/>
  <c r="X177" i="1"/>
  <c r="Z173" i="1"/>
  <c r="X173" i="1"/>
  <c r="X169" i="1"/>
  <c r="Y169" i="1"/>
  <c r="X165" i="1"/>
  <c r="Z165" i="1"/>
  <c r="Y161" i="1"/>
  <c r="X161" i="1"/>
  <c r="Z157" i="1"/>
  <c r="X157" i="1"/>
  <c r="X153" i="1"/>
  <c r="Y153" i="1"/>
  <c r="X149" i="1"/>
  <c r="Z149" i="1"/>
  <c r="Y145" i="1"/>
  <c r="X145" i="1"/>
  <c r="Z141" i="1"/>
  <c r="X141" i="1"/>
  <c r="X137" i="1"/>
  <c r="Y137" i="1"/>
  <c r="X97" i="1"/>
  <c r="Z97" i="1"/>
  <c r="Y182" i="1"/>
  <c r="X182" i="1"/>
  <c r="Z74" i="1"/>
  <c r="X74" i="1"/>
  <c r="X159" i="1"/>
  <c r="Y159" i="1"/>
  <c r="X155" i="1"/>
  <c r="Z155" i="1"/>
  <c r="Y131" i="1"/>
  <c r="X131" i="1"/>
  <c r="Z127" i="1"/>
  <c r="X127" i="1"/>
  <c r="X123" i="1"/>
  <c r="Y123" i="1"/>
  <c r="X39" i="1"/>
  <c r="Z39" i="1"/>
  <c r="Y96" i="1"/>
  <c r="X96" i="1"/>
  <c r="Z120" i="1"/>
  <c r="X120" i="1"/>
  <c r="X115" i="1"/>
  <c r="Y115" i="1"/>
  <c r="X113" i="1"/>
  <c r="Z113" i="1"/>
  <c r="Y21" i="1"/>
  <c r="X21" i="1"/>
  <c r="Y44" i="1"/>
  <c r="X44" i="1"/>
  <c r="Y41" i="1"/>
  <c r="X41" i="1"/>
  <c r="Y33" i="1"/>
  <c r="X33" i="1"/>
  <c r="Y42" i="1"/>
  <c r="X42" i="1"/>
  <c r="X146" i="1"/>
  <c r="X103" i="1"/>
  <c r="X64" i="1"/>
  <c r="X43" i="1"/>
  <c r="X107" i="1"/>
  <c r="X89" i="1"/>
  <c r="X69" i="1"/>
  <c r="X82" i="1"/>
  <c r="X40" i="1"/>
  <c r="X24" i="1"/>
  <c r="X36" i="1"/>
  <c r="X19" i="1"/>
  <c r="Y227" i="1"/>
  <c r="Y219" i="1"/>
  <c r="Y203" i="1"/>
  <c r="Y181" i="1"/>
  <c r="Y92" i="1"/>
  <c r="Y149" i="1"/>
  <c r="Y139" i="1"/>
  <c r="Y199" i="1"/>
  <c r="Y155" i="1"/>
  <c r="Y101" i="1"/>
  <c r="Y102" i="1"/>
  <c r="Y113" i="1"/>
  <c r="Y95" i="1"/>
  <c r="Y82" i="1"/>
  <c r="Y31" i="1"/>
  <c r="Y85" i="1"/>
  <c r="Y7" i="1"/>
  <c r="Z219" i="1"/>
  <c r="Z209" i="1"/>
  <c r="Z187" i="1"/>
  <c r="Z177" i="1"/>
  <c r="Z128" i="1"/>
  <c r="Z145" i="1"/>
  <c r="Z134" i="1"/>
  <c r="Z171" i="1"/>
  <c r="Z131" i="1"/>
  <c r="Z122" i="1"/>
  <c r="Z119" i="1"/>
  <c r="Z21" i="1"/>
  <c r="Z77" i="1"/>
  <c r="Z68" i="1"/>
  <c r="Z41" i="1"/>
  <c r="Z25" i="1"/>
  <c r="Z27" i="1"/>
  <c r="Z42" i="1"/>
  <c r="Z18" i="1"/>
  <c r="Z202" i="1"/>
  <c r="Y202" i="1"/>
  <c r="Z81" i="1"/>
  <c r="Y81" i="1"/>
  <c r="Z104" i="1"/>
  <c r="Y104" i="1"/>
  <c r="Z126" i="1"/>
  <c r="Y126" i="1"/>
  <c r="Z111" i="1"/>
  <c r="Y111" i="1"/>
  <c r="Z117" i="1"/>
  <c r="Y117" i="1"/>
  <c r="Z59" i="1"/>
  <c r="Y59" i="1"/>
  <c r="Z100" i="1"/>
  <c r="X100" i="1"/>
  <c r="Z90" i="1"/>
  <c r="X90" i="1"/>
  <c r="Y90" i="1"/>
  <c r="Z93" i="1"/>
  <c r="X93" i="1"/>
  <c r="Z38" i="1"/>
  <c r="X38" i="1"/>
  <c r="Y38" i="1"/>
  <c r="Z83" i="1"/>
  <c r="X83" i="1"/>
  <c r="Z67" i="1"/>
  <c r="X67" i="1"/>
  <c r="Y67" i="1"/>
  <c r="Z75" i="1"/>
  <c r="X75" i="1"/>
  <c r="Z37" i="1"/>
  <c r="X37" i="1"/>
  <c r="Y37" i="1"/>
  <c r="Z30" i="1"/>
  <c r="X30" i="1"/>
  <c r="Z56" i="1"/>
  <c r="X56" i="1"/>
  <c r="Y56" i="1"/>
  <c r="Z80" i="1"/>
  <c r="X80" i="1"/>
  <c r="Z35" i="1"/>
  <c r="X35" i="1"/>
  <c r="Y35" i="1"/>
  <c r="Z86" i="1"/>
  <c r="X86" i="1"/>
  <c r="Z29" i="1"/>
  <c r="X29" i="1"/>
  <c r="Y29" i="1"/>
  <c r="Z14" i="1"/>
  <c r="X14" i="1"/>
  <c r="Z84" i="1"/>
  <c r="X84" i="1"/>
  <c r="Y84" i="1"/>
  <c r="Z12" i="1"/>
  <c r="X12" i="1"/>
  <c r="Z8" i="1"/>
  <c r="X8" i="1"/>
  <c r="Y8" i="1"/>
  <c r="Z22" i="1"/>
  <c r="X22" i="1"/>
  <c r="Z4" i="1"/>
  <c r="X4" i="1"/>
  <c r="Y4" i="1"/>
  <c r="X203" i="1"/>
  <c r="X187" i="1"/>
  <c r="X92" i="1"/>
  <c r="X128" i="1"/>
  <c r="X150" i="1"/>
  <c r="X139" i="1"/>
  <c r="X134" i="1"/>
  <c r="X199" i="1"/>
  <c r="X106" i="1"/>
  <c r="X71" i="1"/>
  <c r="X122" i="1"/>
  <c r="X102" i="1"/>
  <c r="X114" i="1"/>
  <c r="X110" i="1"/>
  <c r="X76" i="1"/>
  <c r="X65" i="1"/>
  <c r="Y217" i="1"/>
  <c r="Y189" i="1"/>
  <c r="Y157" i="1"/>
  <c r="Y136" i="1"/>
  <c r="Y74" i="1"/>
  <c r="Y125" i="1"/>
  <c r="Y93" i="1"/>
  <c r="Y80" i="1"/>
  <c r="Y22" i="1"/>
  <c r="Z217" i="1"/>
  <c r="Z185" i="1"/>
  <c r="Z153" i="1"/>
  <c r="Z142" i="1"/>
  <c r="Z159" i="1"/>
  <c r="Z70" i="1"/>
  <c r="Z115" i="1"/>
  <c r="Z98" i="1"/>
  <c r="Z40" i="1"/>
  <c r="Z17" i="1"/>
  <c r="AE229" i="1"/>
  <c r="AF229" i="1" s="1"/>
  <c r="AD229" i="1"/>
  <c r="AE225" i="1"/>
  <c r="AF225" i="1" s="1"/>
  <c r="AD225" i="1"/>
  <c r="AE221" i="1"/>
  <c r="AF221" i="1" s="1"/>
  <c r="AD221" i="1"/>
  <c r="AE217" i="1"/>
  <c r="AF217" i="1" s="1"/>
  <c r="AD217" i="1"/>
  <c r="AE213" i="1"/>
  <c r="AF213" i="1" s="1"/>
  <c r="AD213" i="1"/>
  <c r="AE209" i="1"/>
  <c r="AF209" i="1" s="1"/>
  <c r="AD209" i="1"/>
  <c r="AE205" i="1"/>
  <c r="AF205" i="1" s="1"/>
  <c r="AD205" i="1"/>
  <c r="AE201" i="1"/>
  <c r="AF201" i="1" s="1"/>
  <c r="AD201" i="1"/>
  <c r="AE197" i="1"/>
  <c r="AF197" i="1" s="1"/>
  <c r="AD197" i="1"/>
  <c r="AE193" i="1"/>
  <c r="AF193" i="1" s="1"/>
  <c r="AD193" i="1"/>
  <c r="AE189" i="1"/>
  <c r="AF189" i="1" s="1"/>
  <c r="AD189" i="1"/>
  <c r="AE185" i="1"/>
  <c r="AF185" i="1" s="1"/>
  <c r="AD185" i="1"/>
  <c r="AE181" i="1"/>
  <c r="AF181" i="1" s="1"/>
  <c r="AD181" i="1"/>
  <c r="AE177" i="1"/>
  <c r="AF177" i="1" s="1"/>
  <c r="AD177" i="1"/>
  <c r="AE173" i="1"/>
  <c r="AF173" i="1" s="1"/>
  <c r="AD173" i="1"/>
  <c r="AE169" i="1"/>
  <c r="AF169" i="1" s="1"/>
  <c r="AD169" i="1"/>
  <c r="AE165" i="1"/>
  <c r="AF165" i="1" s="1"/>
  <c r="AD165" i="1"/>
  <c r="AE161" i="1"/>
  <c r="AF161" i="1" s="1"/>
  <c r="AD161" i="1"/>
  <c r="AE157" i="1"/>
  <c r="AF157" i="1" s="1"/>
  <c r="AD157" i="1"/>
  <c r="AE153" i="1"/>
  <c r="AF153" i="1" s="1"/>
  <c r="AD153" i="1"/>
  <c r="AE149" i="1"/>
  <c r="AF149" i="1" s="1"/>
  <c r="AD149" i="1"/>
  <c r="AE145" i="1"/>
  <c r="AF145" i="1" s="1"/>
  <c r="AD145" i="1"/>
  <c r="AE141" i="1"/>
  <c r="AF141" i="1" s="1"/>
  <c r="AD141" i="1"/>
  <c r="AE137" i="1"/>
  <c r="AF137" i="1" s="1"/>
  <c r="AD137" i="1"/>
  <c r="AE97" i="1"/>
  <c r="AF97" i="1" s="1"/>
  <c r="AD97" i="1"/>
  <c r="AE182" i="1"/>
  <c r="AF182" i="1" s="1"/>
  <c r="AD182" i="1"/>
  <c r="AE74" i="1"/>
  <c r="AF74" i="1" s="1"/>
  <c r="AD74" i="1"/>
  <c r="AE159" i="1"/>
  <c r="AF159" i="1" s="1"/>
  <c r="AD159" i="1"/>
  <c r="AE155" i="1"/>
  <c r="AF155" i="1" s="1"/>
  <c r="AD155" i="1"/>
  <c r="Z231" i="1"/>
  <c r="Y231" i="1"/>
  <c r="Z215" i="1"/>
  <c r="Y215" i="1"/>
  <c r="Z207" i="1"/>
  <c r="Y207" i="1"/>
  <c r="Z5" i="1"/>
  <c r="Y5" i="1"/>
  <c r="Z191" i="1"/>
  <c r="Y191" i="1"/>
  <c r="Z183" i="1"/>
  <c r="Y183" i="1"/>
  <c r="Z175" i="1"/>
  <c r="Y175" i="1"/>
  <c r="Z167" i="1"/>
  <c r="Y167" i="1"/>
  <c r="Z51" i="1"/>
  <c r="Y51" i="1"/>
  <c r="Z151" i="1"/>
  <c r="Y151" i="1"/>
  <c r="Z143" i="1"/>
  <c r="Y143" i="1"/>
  <c r="Z135" i="1"/>
  <c r="Y135" i="1"/>
  <c r="Z54" i="1"/>
  <c r="Y54" i="1"/>
  <c r="Z133" i="1"/>
  <c r="Y133" i="1"/>
  <c r="Z130" i="1"/>
  <c r="Y130" i="1"/>
  <c r="Z55" i="1"/>
  <c r="Y55" i="1"/>
  <c r="Z116" i="1"/>
  <c r="Y116" i="1"/>
  <c r="Z79" i="1"/>
  <c r="Y79" i="1"/>
  <c r="Z99" i="1"/>
  <c r="Y99" i="1"/>
  <c r="Z105" i="1"/>
  <c r="Y105" i="1"/>
  <c r="Z48" i="1"/>
  <c r="Y48" i="1"/>
  <c r="Z63" i="1"/>
  <c r="Y63" i="1"/>
  <c r="Z45" i="1"/>
  <c r="Y45" i="1"/>
  <c r="Z20" i="1"/>
  <c r="Y20" i="1"/>
  <c r="Z49" i="1"/>
  <c r="Y49" i="1"/>
  <c r="Z91" i="1"/>
  <c r="Y91" i="1"/>
  <c r="Z10" i="1"/>
  <c r="Y10" i="1"/>
  <c r="Z16" i="1"/>
  <c r="Y16" i="1"/>
  <c r="X223" i="1"/>
  <c r="X207" i="1"/>
  <c r="X191" i="1"/>
  <c r="X175" i="1"/>
  <c r="X51" i="1"/>
  <c r="X154" i="1"/>
  <c r="X143" i="1"/>
  <c r="X138" i="1"/>
  <c r="X202" i="1"/>
  <c r="X54" i="1"/>
  <c r="X170" i="1"/>
  <c r="X104" i="1"/>
  <c r="X130" i="1"/>
  <c r="X124" i="1"/>
  <c r="X111" i="1"/>
  <c r="X116" i="1"/>
  <c r="X78" i="1"/>
  <c r="X59" i="1"/>
  <c r="X98" i="1"/>
  <c r="X105" i="1"/>
  <c r="X48" i="1"/>
  <c r="X46" i="1"/>
  <c r="X109" i="1"/>
  <c r="X62" i="1"/>
  <c r="X23" i="1"/>
  <c r="X85" i="1"/>
  <c r="X17" i="1"/>
  <c r="X16" i="1"/>
  <c r="Y229" i="1"/>
  <c r="Y223" i="1"/>
  <c r="Y197" i="1"/>
  <c r="Y165" i="1"/>
  <c r="Y97" i="1"/>
  <c r="Y71" i="1"/>
  <c r="Y39" i="1"/>
  <c r="Y100" i="1"/>
  <c r="Y58" i="1"/>
  <c r="Y68" i="1"/>
  <c r="Y30" i="1"/>
  <c r="Y26" i="1"/>
  <c r="Y27" i="1"/>
  <c r="Y12" i="1"/>
  <c r="Y6" i="1"/>
  <c r="Z225" i="1"/>
  <c r="Z193" i="1"/>
  <c r="Z161" i="1"/>
  <c r="Z150" i="1"/>
  <c r="Z182" i="1"/>
  <c r="Z106" i="1"/>
  <c r="Z96" i="1"/>
  <c r="Z114" i="1"/>
  <c r="Z95" i="1"/>
  <c r="Z44" i="1"/>
  <c r="Z50" i="1"/>
  <c r="Z31" i="1"/>
  <c r="Z33" i="1"/>
  <c r="Z87" i="1"/>
  <c r="Z7" i="1"/>
  <c r="AE131" i="1"/>
  <c r="AF131" i="1" s="1"/>
  <c r="AD131" i="1"/>
  <c r="AE127" i="1"/>
  <c r="AF127" i="1" s="1"/>
  <c r="AD127" i="1"/>
  <c r="AE123" i="1"/>
  <c r="AF123" i="1" s="1"/>
  <c r="AD123" i="1"/>
  <c r="AE39" i="1"/>
  <c r="AF39" i="1" s="1"/>
  <c r="AD39" i="1"/>
  <c r="AE96" i="1"/>
  <c r="AF96" i="1" s="1"/>
  <c r="AD96" i="1"/>
  <c r="AE120" i="1"/>
  <c r="AF120" i="1" s="1"/>
  <c r="AD120" i="1"/>
  <c r="AE115" i="1"/>
  <c r="AF115" i="1" s="1"/>
  <c r="AD115" i="1"/>
  <c r="AE113" i="1"/>
  <c r="AF113" i="1" s="1"/>
  <c r="AD113" i="1"/>
  <c r="AE21" i="1"/>
  <c r="AF21" i="1" s="1"/>
  <c r="AD21" i="1"/>
  <c r="AE73" i="1"/>
  <c r="AF73" i="1" s="1"/>
  <c r="AD73" i="1"/>
  <c r="AE94" i="1"/>
  <c r="AF94" i="1" s="1"/>
  <c r="AE58" i="1"/>
  <c r="AF58" i="1" s="1"/>
  <c r="AD58" i="1"/>
  <c r="AD94" i="1"/>
  <c r="AE232" i="1"/>
  <c r="AF232" i="1" s="1"/>
  <c r="AD232" i="1"/>
  <c r="AE228" i="1"/>
  <c r="AF228" i="1" s="1"/>
  <c r="AD228" i="1"/>
  <c r="AE224" i="1"/>
  <c r="AF224" i="1" s="1"/>
  <c r="AD224" i="1"/>
  <c r="AE128" i="1"/>
  <c r="AF128" i="1" s="1"/>
  <c r="AE151" i="1"/>
  <c r="AF151" i="1" s="1"/>
  <c r="AD151" i="1"/>
  <c r="AD147" i="1"/>
  <c r="AE143" i="1"/>
  <c r="AF143" i="1" s="1"/>
  <c r="AD143" i="1"/>
  <c r="AE139" i="1"/>
  <c r="AF139" i="1" s="1"/>
  <c r="AE135" i="1"/>
  <c r="AF135" i="1" s="1"/>
  <c r="AD135" i="1"/>
  <c r="AE180" i="1"/>
  <c r="AF180" i="1" s="1"/>
  <c r="AD180" i="1"/>
  <c r="AE54" i="1"/>
  <c r="AF54" i="1" s="1"/>
  <c r="AD54" i="1"/>
  <c r="AE171" i="1"/>
  <c r="AF171" i="1" s="1"/>
  <c r="AE133" i="1"/>
  <c r="AF133" i="1" s="1"/>
  <c r="AD133" i="1"/>
  <c r="AD72" i="1"/>
  <c r="AE130" i="1"/>
  <c r="AF130" i="1" s="1"/>
  <c r="AD130" i="1"/>
  <c r="AE101" i="1"/>
  <c r="AF101" i="1" s="1"/>
  <c r="AE55" i="1"/>
  <c r="AF55" i="1" s="1"/>
  <c r="AD55" i="1"/>
  <c r="AE132" i="1"/>
  <c r="AF132" i="1" s="1"/>
  <c r="AD132" i="1"/>
  <c r="AE116" i="1"/>
  <c r="AF116" i="1" s="1"/>
  <c r="AD116" i="1"/>
  <c r="AE119" i="1"/>
  <c r="AF119" i="1" s="1"/>
  <c r="AE79" i="1"/>
  <c r="AF79" i="1" s="1"/>
  <c r="AD79" i="1"/>
  <c r="AE108" i="1"/>
  <c r="AF108" i="1" s="1"/>
  <c r="AD108" i="1"/>
  <c r="AE99" i="1"/>
  <c r="AF99" i="1" s="1"/>
  <c r="AD99" i="1"/>
  <c r="AE95" i="1"/>
  <c r="AF95" i="1" s="1"/>
  <c r="AD95" i="1"/>
  <c r="AE105" i="1"/>
  <c r="AF105" i="1" s="1"/>
  <c r="AD105" i="1"/>
  <c r="AE32" i="1"/>
  <c r="AF32" i="1" s="1"/>
  <c r="AD32" i="1"/>
  <c r="AE48" i="1"/>
  <c r="AF48" i="1" s="1"/>
  <c r="AD48" i="1"/>
  <c r="AE68" i="1"/>
  <c r="AF68" i="1" s="1"/>
  <c r="AD68" i="1"/>
  <c r="AE63" i="1"/>
  <c r="AF63" i="1" s="1"/>
  <c r="AD63" i="1"/>
  <c r="AE47" i="1"/>
  <c r="AF47" i="1" s="1"/>
  <c r="AD47" i="1"/>
  <c r="AE45" i="1"/>
  <c r="AF45" i="1" s="1"/>
  <c r="AD45" i="1"/>
  <c r="AE31" i="1"/>
  <c r="AF31" i="1" s="1"/>
  <c r="AD31" i="1"/>
  <c r="AE20" i="1"/>
  <c r="AF20" i="1" s="1"/>
  <c r="AD20" i="1"/>
  <c r="AD101" i="1"/>
  <c r="AE72" i="1"/>
  <c r="AF72" i="1" s="1"/>
  <c r="AE230" i="1"/>
  <c r="AF230" i="1" s="1"/>
  <c r="AD230" i="1"/>
  <c r="AE226" i="1"/>
  <c r="AF226" i="1" s="1"/>
  <c r="AD226" i="1"/>
  <c r="AE222" i="1"/>
  <c r="AF222" i="1" s="1"/>
  <c r="AD222" i="1"/>
  <c r="AE218" i="1"/>
  <c r="AF218" i="1" s="1"/>
  <c r="AD218" i="1"/>
  <c r="AE214" i="1"/>
  <c r="AF214" i="1" s="1"/>
  <c r="AD214" i="1"/>
  <c r="AE210" i="1"/>
  <c r="AF210" i="1" s="1"/>
  <c r="AD210" i="1"/>
  <c r="AE206" i="1"/>
  <c r="AF206" i="1" s="1"/>
  <c r="AD206" i="1"/>
  <c r="AE52" i="1"/>
  <c r="AF52" i="1" s="1"/>
  <c r="AD52" i="1"/>
  <c r="AE198" i="1"/>
  <c r="AF198" i="1" s="1"/>
  <c r="AD198" i="1"/>
  <c r="AE194" i="1"/>
  <c r="AF194" i="1" s="1"/>
  <c r="AD194" i="1"/>
  <c r="AE190" i="1"/>
  <c r="AF190" i="1" s="1"/>
  <c r="AD190" i="1"/>
  <c r="AE186" i="1"/>
  <c r="AF186" i="1" s="1"/>
  <c r="AD186" i="1"/>
  <c r="AE60" i="1"/>
  <c r="AF60" i="1" s="1"/>
  <c r="AD60" i="1"/>
  <c r="AE178" i="1"/>
  <c r="AF178" i="1" s="1"/>
  <c r="AD178" i="1"/>
  <c r="AE174" i="1"/>
  <c r="AF174" i="1" s="1"/>
  <c r="AD174" i="1"/>
  <c r="AE129" i="1"/>
  <c r="AF129" i="1" s="1"/>
  <c r="AD129" i="1"/>
  <c r="AE166" i="1"/>
  <c r="AF166" i="1" s="1"/>
  <c r="AD166" i="1"/>
  <c r="AE162" i="1"/>
  <c r="AF162" i="1" s="1"/>
  <c r="AD162" i="1"/>
  <c r="AE158" i="1"/>
  <c r="AF158" i="1" s="1"/>
  <c r="AD158" i="1"/>
  <c r="AE154" i="1"/>
  <c r="AF154" i="1" s="1"/>
  <c r="AD154" i="1"/>
  <c r="AE150" i="1"/>
  <c r="AF150" i="1" s="1"/>
  <c r="AD150" i="1"/>
  <c r="AE146" i="1"/>
  <c r="AF146" i="1" s="1"/>
  <c r="AD146" i="1"/>
  <c r="AE142" i="1"/>
  <c r="AF142" i="1" s="1"/>
  <c r="AD142" i="1"/>
  <c r="AE138" i="1"/>
  <c r="AF138" i="1" s="1"/>
  <c r="AD138" i="1"/>
  <c r="AE134" i="1"/>
  <c r="AF134" i="1" s="1"/>
  <c r="AD134" i="1"/>
  <c r="AE103" i="1"/>
  <c r="AF103" i="1" s="1"/>
  <c r="AD103" i="1"/>
  <c r="AE53" i="1"/>
  <c r="AF53" i="1" s="1"/>
  <c r="AD53" i="1"/>
  <c r="AE170" i="1"/>
  <c r="AF170" i="1" s="1"/>
  <c r="AD170" i="1"/>
  <c r="AE106" i="1"/>
  <c r="AF106" i="1" s="1"/>
  <c r="AD106" i="1"/>
  <c r="AE64" i="1"/>
  <c r="AF64" i="1" s="1"/>
  <c r="AD64" i="1"/>
  <c r="AE70" i="1"/>
  <c r="AF70" i="1" s="1"/>
  <c r="AD70" i="1"/>
  <c r="AD124" i="1"/>
  <c r="AE122" i="1"/>
  <c r="AF122" i="1" s="1"/>
  <c r="AD122" i="1"/>
  <c r="AE43" i="1"/>
  <c r="AF43" i="1" s="1"/>
  <c r="AD43" i="1"/>
  <c r="AE118" i="1"/>
  <c r="AF118" i="1" s="1"/>
  <c r="AD118" i="1"/>
  <c r="AD78" i="1"/>
  <c r="AE114" i="1"/>
  <c r="AF114" i="1" s="1"/>
  <c r="AD114" i="1"/>
  <c r="AE107" i="1"/>
  <c r="AF107" i="1" s="1"/>
  <c r="AD107" i="1"/>
  <c r="AD98" i="1"/>
  <c r="AE98" i="1"/>
  <c r="AF98" i="1" s="1"/>
  <c r="AD89" i="1"/>
  <c r="AD77" i="1"/>
  <c r="AE77" i="1"/>
  <c r="AF77" i="1" s="1"/>
  <c r="AD110" i="1"/>
  <c r="AE110" i="1"/>
  <c r="AF110" i="1" s="1"/>
  <c r="AD57" i="1"/>
  <c r="AE57" i="1"/>
  <c r="AF57" i="1" s="1"/>
  <c r="AD76" i="1"/>
  <c r="AD50" i="1"/>
  <c r="AE50" i="1"/>
  <c r="AF50" i="1" s="1"/>
  <c r="AD109" i="1"/>
  <c r="AE109" i="1"/>
  <c r="AF109" i="1" s="1"/>
  <c r="AD40" i="1"/>
  <c r="AE40" i="1"/>
  <c r="AF40" i="1" s="1"/>
  <c r="AE124" i="1"/>
  <c r="AF124" i="1" s="1"/>
  <c r="AE44" i="1"/>
  <c r="AF44" i="1" s="1"/>
  <c r="AD44" i="1"/>
  <c r="AE69" i="1"/>
  <c r="AF69" i="1" s="1"/>
  <c r="AE46" i="1"/>
  <c r="AF46" i="1" s="1"/>
  <c r="AD46" i="1"/>
  <c r="AE82" i="1"/>
  <c r="AF82" i="1" s="1"/>
  <c r="AE41" i="1"/>
  <c r="AF41" i="1" s="1"/>
  <c r="AD41" i="1"/>
  <c r="AE28" i="1"/>
  <c r="AF28" i="1" s="1"/>
  <c r="AE61" i="1"/>
  <c r="AF61" i="1" s="1"/>
  <c r="AD61" i="1"/>
  <c r="AE26" i="1"/>
  <c r="AF26" i="1" s="1"/>
  <c r="AE33" i="1"/>
  <c r="AF33" i="1" s="1"/>
  <c r="AD33" i="1"/>
  <c r="AE23" i="1"/>
  <c r="AF23" i="1" s="1"/>
  <c r="AE24" i="1"/>
  <c r="AF24" i="1" s="1"/>
  <c r="AD24" i="1"/>
  <c r="AE85" i="1"/>
  <c r="AF85" i="1" s="1"/>
  <c r="AE42" i="1"/>
  <c r="AF42" i="1" s="1"/>
  <c r="AD42" i="1"/>
  <c r="AE11" i="1"/>
  <c r="AF11" i="1" s="1"/>
  <c r="AE15" i="1"/>
  <c r="AF15" i="1" s="1"/>
  <c r="AD15" i="1"/>
  <c r="AE6" i="1"/>
  <c r="AF6" i="1" s="1"/>
  <c r="AD69" i="1"/>
  <c r="AD23" i="1"/>
  <c r="AE78" i="1"/>
  <c r="AF78" i="1" s="1"/>
  <c r="AE220" i="1"/>
  <c r="AF220" i="1" s="1"/>
  <c r="AD220" i="1"/>
  <c r="AE216" i="1"/>
  <c r="AF216" i="1" s="1"/>
  <c r="AD216" i="1"/>
  <c r="AE212" i="1"/>
  <c r="AF212" i="1" s="1"/>
  <c r="AD212" i="1"/>
  <c r="AE208" i="1"/>
  <c r="AF208" i="1" s="1"/>
  <c r="AD208" i="1"/>
  <c r="AE204" i="1"/>
  <c r="AF204" i="1" s="1"/>
  <c r="AD204" i="1"/>
  <c r="AE200" i="1"/>
  <c r="AF200" i="1" s="1"/>
  <c r="AD200" i="1"/>
  <c r="AE196" i="1"/>
  <c r="AF196" i="1" s="1"/>
  <c r="AD196" i="1"/>
  <c r="AE192" i="1"/>
  <c r="AF192" i="1" s="1"/>
  <c r="AD192" i="1"/>
  <c r="AE188" i="1"/>
  <c r="AF188" i="1" s="1"/>
  <c r="AD188" i="1"/>
  <c r="AE184" i="1"/>
  <c r="AF184" i="1" s="1"/>
  <c r="AD184" i="1"/>
  <c r="AE121" i="1"/>
  <c r="AF121" i="1" s="1"/>
  <c r="AD121" i="1"/>
  <c r="AE176" i="1"/>
  <c r="AF176" i="1" s="1"/>
  <c r="AD176" i="1"/>
  <c r="AE172" i="1"/>
  <c r="AF172" i="1" s="1"/>
  <c r="AD172" i="1"/>
  <c r="AE168" i="1"/>
  <c r="AF168" i="1" s="1"/>
  <c r="AD168" i="1"/>
  <c r="AE164" i="1"/>
  <c r="AF164" i="1" s="1"/>
  <c r="AD164" i="1"/>
  <c r="AE160" i="1"/>
  <c r="AF160" i="1" s="1"/>
  <c r="AD160" i="1"/>
  <c r="AE156" i="1"/>
  <c r="AF156" i="1" s="1"/>
  <c r="AD156" i="1"/>
  <c r="AE152" i="1"/>
  <c r="AF152" i="1" s="1"/>
  <c r="AD152" i="1"/>
  <c r="AE148" i="1"/>
  <c r="AF148" i="1" s="1"/>
  <c r="AD148" i="1"/>
  <c r="AE144" i="1"/>
  <c r="AF144" i="1" s="1"/>
  <c r="AD144" i="1"/>
  <c r="AE140" i="1"/>
  <c r="AF140" i="1" s="1"/>
  <c r="AD140" i="1"/>
  <c r="AE136" i="1"/>
  <c r="AF136" i="1" s="1"/>
  <c r="AD136" i="1"/>
  <c r="AE202" i="1"/>
  <c r="AF202" i="1" s="1"/>
  <c r="AD202" i="1"/>
  <c r="AE199" i="1"/>
  <c r="AF199" i="1" s="1"/>
  <c r="AD199" i="1"/>
  <c r="AE81" i="1"/>
  <c r="AF81" i="1" s="1"/>
  <c r="AD81" i="1"/>
  <c r="AE88" i="1"/>
  <c r="AF88" i="1" s="1"/>
  <c r="AD88" i="1"/>
  <c r="AE104" i="1"/>
  <c r="AF104" i="1" s="1"/>
  <c r="AD104" i="1"/>
  <c r="AE71" i="1"/>
  <c r="AF71" i="1" s="1"/>
  <c r="AD71" i="1"/>
  <c r="AE126" i="1"/>
  <c r="AF126" i="1" s="1"/>
  <c r="AD126" i="1"/>
  <c r="AD125" i="1"/>
  <c r="AE125" i="1"/>
  <c r="AF125" i="1" s="1"/>
  <c r="AE111" i="1"/>
  <c r="AF111" i="1" s="1"/>
  <c r="AD111" i="1"/>
  <c r="AE102" i="1"/>
  <c r="AF102" i="1" s="1"/>
  <c r="AD102" i="1"/>
  <c r="AE117" i="1"/>
  <c r="AF117" i="1" s="1"/>
  <c r="AD117" i="1"/>
  <c r="AD112" i="1"/>
  <c r="AE112" i="1"/>
  <c r="AF112" i="1" s="1"/>
  <c r="AE59" i="1"/>
  <c r="AF59" i="1" s="1"/>
  <c r="AD59" i="1"/>
  <c r="AE100" i="1"/>
  <c r="AF100" i="1" s="1"/>
  <c r="AD100" i="1"/>
  <c r="AE90" i="1"/>
  <c r="AF90" i="1" s="1"/>
  <c r="AD90" i="1"/>
  <c r="AE93" i="1"/>
  <c r="AF93" i="1" s="1"/>
  <c r="AD93" i="1"/>
  <c r="AE38" i="1"/>
  <c r="AF38" i="1" s="1"/>
  <c r="AE83" i="1"/>
  <c r="AF83" i="1" s="1"/>
  <c r="AD83" i="1"/>
  <c r="AE67" i="1"/>
  <c r="AF67" i="1" s="1"/>
  <c r="AD67" i="1"/>
  <c r="AD75" i="1"/>
  <c r="AE75" i="1"/>
  <c r="AF75" i="1" s="1"/>
  <c r="AE37" i="1"/>
  <c r="AF37" i="1" s="1"/>
  <c r="AD37" i="1"/>
  <c r="AE30" i="1"/>
  <c r="AF30" i="1" s="1"/>
  <c r="AD30" i="1"/>
  <c r="AE56" i="1"/>
  <c r="AF56" i="1" s="1"/>
  <c r="AD56" i="1"/>
  <c r="AD80" i="1"/>
  <c r="AE80" i="1"/>
  <c r="AF80" i="1" s="1"/>
  <c r="AD82" i="1"/>
  <c r="AD85" i="1"/>
  <c r="AE89" i="1"/>
  <c r="AF89" i="1" s="1"/>
  <c r="AE35" i="1"/>
  <c r="AF35" i="1" s="1"/>
  <c r="AE29" i="1"/>
  <c r="AF29" i="1" s="1"/>
  <c r="AE84" i="1"/>
  <c r="AF84" i="1" s="1"/>
  <c r="AE4" i="1"/>
  <c r="AF4" i="1" s="1"/>
  <c r="AD35" i="1"/>
  <c r="AD29" i="1"/>
  <c r="AD84" i="1"/>
  <c r="AD8" i="1"/>
  <c r="AD4" i="1"/>
  <c r="AE14" i="1"/>
  <c r="AF14" i="1" s="1"/>
  <c r="AE22" i="1"/>
  <c r="AF22" i="1" s="1"/>
  <c r="AE34" i="1"/>
  <c r="AF34" i="1" s="1"/>
  <c r="AD34" i="1"/>
  <c r="AE49" i="1"/>
  <c r="AF49" i="1" s="1"/>
  <c r="AD49" i="1"/>
  <c r="AE27" i="1"/>
  <c r="AF27" i="1" s="1"/>
  <c r="AD27" i="1"/>
  <c r="AE91" i="1"/>
  <c r="AF91" i="1" s="1"/>
  <c r="AD91" i="1"/>
  <c r="AE13" i="1"/>
  <c r="AF13" i="1" s="1"/>
  <c r="AD13" i="1"/>
  <c r="AE10" i="1"/>
  <c r="AF10" i="1" s="1"/>
  <c r="AD10" i="1"/>
  <c r="AE7" i="1"/>
  <c r="AF7" i="1" s="1"/>
  <c r="AD7" i="1"/>
  <c r="AE16" i="1"/>
  <c r="AF16" i="1" s="1"/>
  <c r="AD16" i="1"/>
  <c r="AE3" i="1"/>
  <c r="AF3" i="1" s="1"/>
  <c r="AD3" i="1"/>
  <c r="AE66" i="1"/>
  <c r="AF66" i="1" s="1"/>
  <c r="AE36" i="1"/>
  <c r="AF36" i="1" s="1"/>
  <c r="AD62" i="1"/>
  <c r="AD25" i="1"/>
  <c r="AE25" i="1"/>
  <c r="AF25" i="1" s="1"/>
  <c r="AD65" i="1"/>
  <c r="AE65" i="1"/>
  <c r="AF65" i="1" s="1"/>
  <c r="AD9" i="1"/>
  <c r="AD87" i="1"/>
  <c r="AE87" i="1"/>
  <c r="AF87" i="1" s="1"/>
  <c r="AD17" i="1"/>
  <c r="AE17" i="1"/>
  <c r="AF17" i="1" s="1"/>
  <c r="AD19" i="1"/>
  <c r="AD18" i="1"/>
  <c r="AE18" i="1"/>
  <c r="AF18" i="1" s="1"/>
  <c r="AD86" i="1"/>
  <c r="AD14" i="1"/>
  <c r="AD12" i="1"/>
  <c r="AD22" i="1"/>
  <c r="AE86" i="1"/>
  <c r="AF86" i="1" s="1"/>
  <c r="AE12" i="1"/>
  <c r="AF12" i="1" s="1"/>
  <c r="N228" i="1"/>
  <c r="N224" i="1"/>
  <c r="N220" i="1"/>
  <c r="N216" i="1"/>
  <c r="N212" i="1"/>
  <c r="N208" i="1"/>
  <c r="N204" i="1"/>
  <c r="N200" i="1"/>
  <c r="N196" i="1"/>
  <c r="N192" i="1"/>
  <c r="N188" i="1"/>
  <c r="N184" i="1"/>
  <c r="N121" i="1"/>
  <c r="N176" i="1"/>
  <c r="N172" i="1"/>
  <c r="N168" i="1"/>
  <c r="N164" i="1"/>
  <c r="N160" i="1"/>
  <c r="N156" i="1"/>
  <c r="N152" i="1"/>
  <c r="N148" i="1"/>
  <c r="N144" i="1"/>
  <c r="N140" i="1"/>
  <c r="N136" i="1"/>
  <c r="N202" i="1"/>
  <c r="N199" i="1"/>
  <c r="N81" i="1"/>
  <c r="N88" i="1"/>
  <c r="N104" i="1"/>
  <c r="N71" i="1"/>
  <c r="N126" i="1"/>
  <c r="N125" i="1"/>
  <c r="N111" i="1"/>
  <c r="N102" i="1"/>
  <c r="N117" i="1"/>
  <c r="N112" i="1"/>
  <c r="N59" i="1"/>
  <c r="N100" i="1"/>
  <c r="N90" i="1"/>
  <c r="N93" i="1"/>
  <c r="N38" i="1"/>
  <c r="N83" i="1"/>
  <c r="N67" i="1"/>
  <c r="N75" i="1"/>
  <c r="N37" i="1"/>
  <c r="N30" i="1"/>
  <c r="N56" i="1"/>
  <c r="N80" i="1"/>
  <c r="N35" i="1"/>
  <c r="N86" i="1"/>
  <c r="N29" i="1"/>
  <c r="N14" i="1"/>
  <c r="N84" i="1"/>
  <c r="N12" i="1"/>
  <c r="N8" i="1"/>
  <c r="N22" i="1"/>
  <c r="N4" i="1"/>
  <c r="L226" i="1"/>
  <c r="L222" i="1"/>
  <c r="L210" i="1"/>
  <c r="L206" i="1"/>
  <c r="L194" i="1"/>
  <c r="L190" i="1"/>
  <c r="L178" i="1"/>
  <c r="L174" i="1"/>
  <c r="L162" i="1"/>
  <c r="L158" i="1"/>
  <c r="L150" i="1"/>
  <c r="L146" i="1"/>
  <c r="L142" i="1"/>
  <c r="L134" i="1"/>
  <c r="L103" i="1"/>
  <c r="L53" i="1"/>
  <c r="L106" i="1"/>
  <c r="L64" i="1"/>
  <c r="L122" i="1"/>
  <c r="L43" i="1"/>
  <c r="L114" i="1"/>
  <c r="L107" i="1"/>
  <c r="L77" i="1"/>
  <c r="L110" i="1"/>
  <c r="L50" i="1"/>
  <c r="L40" i="1"/>
  <c r="L25" i="1"/>
  <c r="L65" i="1"/>
  <c r="L87" i="1"/>
  <c r="L17" i="1"/>
  <c r="L18" i="1"/>
  <c r="M232" i="1"/>
  <c r="M228" i="1"/>
  <c r="M224" i="1"/>
  <c r="M220" i="1"/>
  <c r="M216" i="1"/>
  <c r="M212" i="1"/>
  <c r="M208" i="1"/>
  <c r="M204" i="1"/>
  <c r="M200" i="1"/>
  <c r="M196" i="1"/>
  <c r="M192" i="1"/>
  <c r="M188" i="1"/>
  <c r="M184" i="1"/>
  <c r="M121" i="1"/>
  <c r="M176" i="1"/>
  <c r="M172" i="1"/>
  <c r="M168" i="1"/>
  <c r="M164" i="1"/>
  <c r="M160" i="1"/>
  <c r="M156" i="1"/>
  <c r="M146" i="1"/>
  <c r="M140" i="1"/>
  <c r="M103" i="1"/>
  <c r="M81" i="1"/>
  <c r="M126" i="1"/>
  <c r="M117" i="1"/>
  <c r="M90" i="1"/>
  <c r="M67" i="1"/>
  <c r="N231" i="1"/>
  <c r="N227" i="1"/>
  <c r="N223" i="1"/>
  <c r="N219" i="1"/>
  <c r="N215" i="1"/>
  <c r="N211" i="1"/>
  <c r="N207" i="1"/>
  <c r="N203" i="1"/>
  <c r="N5" i="1"/>
  <c r="N195" i="1"/>
  <c r="N191" i="1"/>
  <c r="N187" i="1"/>
  <c r="N183" i="1"/>
  <c r="N179" i="1"/>
  <c r="N175" i="1"/>
  <c r="N92" i="1"/>
  <c r="N167" i="1"/>
  <c r="N163" i="1"/>
  <c r="N51" i="1"/>
  <c r="N128" i="1"/>
  <c r="N151" i="1"/>
  <c r="N147" i="1"/>
  <c r="N143" i="1"/>
  <c r="N139" i="1"/>
  <c r="N135" i="1"/>
  <c r="N180" i="1"/>
  <c r="N54" i="1"/>
  <c r="N171" i="1"/>
  <c r="N133" i="1"/>
  <c r="N72" i="1"/>
  <c r="N130" i="1"/>
  <c r="N101" i="1"/>
  <c r="N55" i="1"/>
  <c r="N132" i="1"/>
  <c r="N116" i="1"/>
  <c r="N119" i="1"/>
  <c r="N79" i="1"/>
  <c r="N108" i="1"/>
  <c r="N99" i="1"/>
  <c r="N95" i="1"/>
  <c r="N105" i="1"/>
  <c r="N32" i="1"/>
  <c r="N48" i="1"/>
  <c r="N68" i="1"/>
  <c r="M63" i="1"/>
  <c r="N63" i="1"/>
  <c r="M47" i="1"/>
  <c r="N47" i="1"/>
  <c r="M45" i="1"/>
  <c r="N45" i="1"/>
  <c r="M31" i="1"/>
  <c r="N31" i="1"/>
  <c r="M20" i="1"/>
  <c r="N20" i="1"/>
  <c r="M34" i="1"/>
  <c r="N34" i="1"/>
  <c r="M49" i="1"/>
  <c r="N49" i="1"/>
  <c r="M27" i="1"/>
  <c r="N27" i="1"/>
  <c r="M91" i="1"/>
  <c r="N91" i="1"/>
  <c r="M13" i="1"/>
  <c r="N13" i="1"/>
  <c r="M10" i="1"/>
  <c r="N10" i="1"/>
  <c r="M7" i="1"/>
  <c r="N7" i="1"/>
  <c r="M16" i="1"/>
  <c r="N16" i="1"/>
  <c r="M3" i="1"/>
  <c r="N3" i="1"/>
  <c r="M231" i="1"/>
  <c r="M227" i="1"/>
  <c r="M223" i="1"/>
  <c r="M219" i="1"/>
  <c r="M215" i="1"/>
  <c r="M211" i="1"/>
  <c r="M207" i="1"/>
  <c r="M203" i="1"/>
  <c r="M5" i="1"/>
  <c r="M195" i="1"/>
  <c r="M191" i="1"/>
  <c r="M187" i="1"/>
  <c r="M183" i="1"/>
  <c r="M179" i="1"/>
  <c r="M175" i="1"/>
  <c r="M92" i="1"/>
  <c r="M167" i="1"/>
  <c r="M163" i="1"/>
  <c r="M51" i="1"/>
  <c r="M128" i="1"/>
  <c r="M144" i="1"/>
  <c r="M139" i="1"/>
  <c r="M199" i="1"/>
  <c r="M171" i="1"/>
  <c r="M71" i="1"/>
  <c r="M101" i="1"/>
  <c r="M102" i="1"/>
  <c r="M119" i="1"/>
  <c r="M100" i="1"/>
  <c r="M95" i="1"/>
  <c r="M83" i="1"/>
  <c r="M68" i="1"/>
  <c r="M37" i="1"/>
  <c r="M56" i="1"/>
  <c r="M35" i="1"/>
  <c r="M29" i="1"/>
  <c r="M84" i="1"/>
  <c r="M8" i="1"/>
  <c r="M4" i="1"/>
  <c r="N170" i="1"/>
  <c r="N106" i="1"/>
  <c r="N64" i="1"/>
  <c r="N70" i="1"/>
  <c r="N124" i="1"/>
  <c r="N122" i="1"/>
  <c r="N43" i="1"/>
  <c r="N118" i="1"/>
  <c r="N78" i="1"/>
  <c r="N114" i="1"/>
  <c r="N107" i="1"/>
  <c r="N98" i="1"/>
  <c r="N89" i="1"/>
  <c r="N77" i="1"/>
  <c r="N110" i="1"/>
  <c r="N57" i="1"/>
  <c r="N76" i="1"/>
  <c r="N50" i="1"/>
  <c r="N109" i="1"/>
  <c r="N40" i="1"/>
  <c r="N62" i="1"/>
  <c r="N25" i="1"/>
  <c r="N66" i="1"/>
  <c r="N65" i="1"/>
  <c r="N9" i="1"/>
  <c r="N87" i="1"/>
  <c r="N36" i="1"/>
  <c r="N17" i="1"/>
  <c r="N19" i="1"/>
  <c r="N18" i="1"/>
  <c r="L232" i="1"/>
  <c r="L228" i="1"/>
  <c r="L224" i="1"/>
  <c r="L220" i="1"/>
  <c r="L216" i="1"/>
  <c r="L212" i="1"/>
  <c r="L208" i="1"/>
  <c r="L204" i="1"/>
  <c r="L200" i="1"/>
  <c r="L196" i="1"/>
  <c r="L192" i="1"/>
  <c r="L188" i="1"/>
  <c r="L184" i="1"/>
  <c r="L121" i="1"/>
  <c r="L176" i="1"/>
  <c r="L172" i="1"/>
  <c r="L168" i="1"/>
  <c r="L164" i="1"/>
  <c r="L160" i="1"/>
  <c r="L156" i="1"/>
  <c r="L152" i="1"/>
  <c r="L148" i="1"/>
  <c r="L144" i="1"/>
  <c r="L140" i="1"/>
  <c r="L136" i="1"/>
  <c r="L202" i="1"/>
  <c r="L199" i="1"/>
  <c r="L81" i="1"/>
  <c r="L88" i="1"/>
  <c r="L104" i="1"/>
  <c r="L71" i="1"/>
  <c r="L126" i="1"/>
  <c r="L125" i="1"/>
  <c r="L111" i="1"/>
  <c r="L102" i="1"/>
  <c r="L117" i="1"/>
  <c r="L112" i="1"/>
  <c r="L59" i="1"/>
  <c r="L100" i="1"/>
  <c r="L90" i="1"/>
  <c r="L93" i="1"/>
  <c r="L38" i="1"/>
  <c r="L83" i="1"/>
  <c r="L67" i="1"/>
  <c r="L75" i="1"/>
  <c r="L37" i="1"/>
  <c r="L30" i="1"/>
  <c r="L56" i="1"/>
  <c r="L80" i="1"/>
  <c r="L35" i="1"/>
  <c r="L86" i="1"/>
  <c r="L29" i="1"/>
  <c r="L14" i="1"/>
  <c r="L84" i="1"/>
  <c r="L12" i="1"/>
  <c r="L8" i="1"/>
  <c r="L22" i="1"/>
  <c r="L4" i="1"/>
  <c r="M230" i="1"/>
  <c r="M226" i="1"/>
  <c r="M222" i="1"/>
  <c r="M218" i="1"/>
  <c r="M214" i="1"/>
  <c r="M210" i="1"/>
  <c r="M206" i="1"/>
  <c r="M52" i="1"/>
  <c r="M198" i="1"/>
  <c r="M194" i="1"/>
  <c r="M190" i="1"/>
  <c r="M186" i="1"/>
  <c r="M60" i="1"/>
  <c r="M178" i="1"/>
  <c r="M174" i="1"/>
  <c r="M129" i="1"/>
  <c r="M166" i="1"/>
  <c r="M162" i="1"/>
  <c r="M158" i="1"/>
  <c r="M154" i="1"/>
  <c r="M148" i="1"/>
  <c r="M143" i="1"/>
  <c r="M138" i="1"/>
  <c r="M202" i="1"/>
  <c r="M54" i="1"/>
  <c r="M170" i="1"/>
  <c r="M104" i="1"/>
  <c r="M130" i="1"/>
  <c r="M124" i="1"/>
  <c r="M111" i="1"/>
  <c r="M116" i="1"/>
  <c r="M78" i="1"/>
  <c r="M59" i="1"/>
  <c r="M99" i="1"/>
  <c r="M89" i="1"/>
  <c r="M38" i="1"/>
  <c r="M48" i="1"/>
  <c r="M76" i="1"/>
  <c r="M109" i="1"/>
  <c r="M62" i="1"/>
  <c r="M66" i="1"/>
  <c r="M9" i="1"/>
  <c r="M36" i="1"/>
  <c r="M19" i="1"/>
  <c r="N232" i="1"/>
  <c r="N218" i="1"/>
  <c r="N52" i="1"/>
  <c r="N186" i="1"/>
  <c r="N129" i="1"/>
  <c r="N154" i="1"/>
  <c r="N138" i="1"/>
  <c r="N229" i="1"/>
  <c r="N225" i="1"/>
  <c r="N221" i="1"/>
  <c r="N217" i="1"/>
  <c r="N213" i="1"/>
  <c r="N209" i="1"/>
  <c r="N205" i="1"/>
  <c r="N201" i="1"/>
  <c r="N197" i="1"/>
  <c r="N193" i="1"/>
  <c r="N189" i="1"/>
  <c r="N185" i="1"/>
  <c r="N181" i="1"/>
  <c r="N177" i="1"/>
  <c r="N173" i="1"/>
  <c r="N169" i="1"/>
  <c r="N165" i="1"/>
  <c r="N161" i="1"/>
  <c r="N157" i="1"/>
  <c r="N153" i="1"/>
  <c r="M153" i="1"/>
  <c r="N149" i="1"/>
  <c r="M149" i="1"/>
  <c r="N145" i="1"/>
  <c r="M145" i="1"/>
  <c r="N141" i="1"/>
  <c r="M141" i="1"/>
  <c r="N137" i="1"/>
  <c r="M137" i="1"/>
  <c r="N97" i="1"/>
  <c r="M97" i="1"/>
  <c r="N182" i="1"/>
  <c r="M182" i="1"/>
  <c r="N74" i="1"/>
  <c r="M74" i="1"/>
  <c r="N159" i="1"/>
  <c r="M159" i="1"/>
  <c r="N155" i="1"/>
  <c r="M155" i="1"/>
  <c r="N131" i="1"/>
  <c r="M131" i="1"/>
  <c r="N127" i="1"/>
  <c r="M127" i="1"/>
  <c r="N123" i="1"/>
  <c r="M123" i="1"/>
  <c r="N39" i="1"/>
  <c r="M39" i="1"/>
  <c r="N96" i="1"/>
  <c r="M96" i="1"/>
  <c r="N120" i="1"/>
  <c r="M120" i="1"/>
  <c r="N115" i="1"/>
  <c r="M115" i="1"/>
  <c r="N113" i="1"/>
  <c r="M113" i="1"/>
  <c r="N21" i="1"/>
  <c r="M21" i="1"/>
  <c r="N73" i="1"/>
  <c r="M73" i="1"/>
  <c r="N94" i="1"/>
  <c r="M94" i="1"/>
  <c r="N58" i="1"/>
  <c r="M58" i="1"/>
  <c r="N44" i="1"/>
  <c r="M44" i="1"/>
  <c r="N69" i="1"/>
  <c r="M69" i="1"/>
  <c r="N46" i="1"/>
  <c r="M46" i="1"/>
  <c r="N82" i="1"/>
  <c r="M82" i="1"/>
  <c r="N41" i="1"/>
  <c r="M41" i="1"/>
  <c r="N28" i="1"/>
  <c r="M28" i="1"/>
  <c r="N61" i="1"/>
  <c r="M61" i="1"/>
  <c r="N26" i="1"/>
  <c r="M26" i="1"/>
  <c r="N33" i="1"/>
  <c r="M33" i="1"/>
  <c r="N23" i="1"/>
  <c r="M23" i="1"/>
  <c r="N24" i="1"/>
  <c r="M24" i="1"/>
  <c r="N85" i="1"/>
  <c r="M85" i="1"/>
  <c r="N42" i="1"/>
  <c r="M42" i="1"/>
  <c r="N11" i="1"/>
  <c r="M11" i="1"/>
  <c r="N15" i="1"/>
  <c r="M15" i="1"/>
  <c r="N6" i="1"/>
  <c r="M6" i="1"/>
  <c r="L231" i="1"/>
  <c r="L227" i="1"/>
  <c r="L223" i="1"/>
  <c r="L219" i="1"/>
  <c r="L215" i="1"/>
  <c r="L211" i="1"/>
  <c r="L207" i="1"/>
  <c r="L203" i="1"/>
  <c r="L5" i="1"/>
  <c r="L195" i="1"/>
  <c r="L191" i="1"/>
  <c r="L187" i="1"/>
  <c r="L183" i="1"/>
  <c r="L179" i="1"/>
  <c r="L175" i="1"/>
  <c r="L92" i="1"/>
  <c r="L167" i="1"/>
  <c r="L163" i="1"/>
  <c r="L51" i="1"/>
  <c r="L128" i="1"/>
  <c r="L151" i="1"/>
  <c r="L147" i="1"/>
  <c r="L143" i="1"/>
  <c r="L139" i="1"/>
  <c r="L135" i="1"/>
  <c r="L180" i="1"/>
  <c r="L54" i="1"/>
  <c r="L171" i="1"/>
  <c r="L133" i="1"/>
  <c r="L72" i="1"/>
  <c r="L130" i="1"/>
  <c r="L101" i="1"/>
  <c r="L55" i="1"/>
  <c r="L132" i="1"/>
  <c r="L116" i="1"/>
  <c r="L119" i="1"/>
  <c r="L79" i="1"/>
  <c r="L108" i="1"/>
  <c r="L99" i="1"/>
  <c r="L95" i="1"/>
  <c r="L105" i="1"/>
  <c r="L32" i="1"/>
  <c r="L48" i="1"/>
  <c r="L68" i="1"/>
  <c r="L63" i="1"/>
  <c r="L47" i="1"/>
  <c r="L45" i="1"/>
  <c r="L31" i="1"/>
  <c r="L20" i="1"/>
  <c r="L34" i="1"/>
  <c r="L49" i="1"/>
  <c r="L27" i="1"/>
  <c r="L91" i="1"/>
  <c r="L13" i="1"/>
  <c r="L10" i="1"/>
  <c r="L7" i="1"/>
  <c r="L16" i="1"/>
  <c r="L3" i="1"/>
  <c r="M229" i="1"/>
  <c r="M225" i="1"/>
  <c r="M221" i="1"/>
  <c r="M217" i="1"/>
  <c r="M213" i="1"/>
  <c r="M209" i="1"/>
  <c r="M205" i="1"/>
  <c r="M201" i="1"/>
  <c r="M197" i="1"/>
  <c r="M193" i="1"/>
  <c r="M189" i="1"/>
  <c r="M185" i="1"/>
  <c r="M181" i="1"/>
  <c r="M177" i="1"/>
  <c r="M173" i="1"/>
  <c r="M169" i="1"/>
  <c r="M165" i="1"/>
  <c r="M161" i="1"/>
  <c r="M157" i="1"/>
  <c r="M152" i="1"/>
  <c r="M147" i="1"/>
  <c r="M142" i="1"/>
  <c r="M136" i="1"/>
  <c r="M180" i="1"/>
  <c r="M53" i="1"/>
  <c r="M88" i="1"/>
  <c r="M72" i="1"/>
  <c r="M70" i="1"/>
  <c r="M125" i="1"/>
  <c r="M132" i="1"/>
  <c r="M118" i="1"/>
  <c r="M112" i="1"/>
  <c r="M108" i="1"/>
  <c r="M98" i="1"/>
  <c r="M93" i="1"/>
  <c r="M32" i="1"/>
  <c r="M57" i="1"/>
  <c r="M75" i="1"/>
  <c r="M30" i="1"/>
  <c r="M80" i="1"/>
  <c r="M86" i="1"/>
  <c r="M14" i="1"/>
  <c r="M12" i="1"/>
  <c r="M22" i="1"/>
  <c r="N230" i="1"/>
  <c r="N214" i="1"/>
  <c r="N198" i="1"/>
  <c r="N60" i="1"/>
  <c r="N166" i="1"/>
  <c r="N150" i="1"/>
  <c r="N134" i="1"/>
  <c r="F70" i="1"/>
  <c r="F118" i="1"/>
  <c r="F107" i="1"/>
  <c r="F89" i="1"/>
  <c r="F110" i="1"/>
  <c r="F57" i="1"/>
  <c r="F109" i="1"/>
  <c r="F40" i="1"/>
  <c r="F62" i="1"/>
  <c r="F25" i="1"/>
  <c r="F66" i="1"/>
  <c r="F65" i="1"/>
  <c r="F9" i="1"/>
  <c r="F87" i="1"/>
  <c r="F36" i="1"/>
  <c r="F17" i="1"/>
  <c r="F19" i="1"/>
  <c r="F18" i="1"/>
  <c r="G226" i="1"/>
  <c r="AV226" i="1" s="1"/>
  <c r="G214" i="1"/>
  <c r="AV214" i="1" s="1"/>
  <c r="G52" i="1"/>
  <c r="G190" i="1"/>
  <c r="G178" i="1"/>
  <c r="G166" i="1"/>
  <c r="AV166" i="1" s="1"/>
  <c r="G146" i="1"/>
  <c r="G134" i="1"/>
  <c r="G170" i="1"/>
  <c r="AV170" i="1" s="1"/>
  <c r="G70" i="1"/>
  <c r="G118" i="1"/>
  <c r="G107" i="1"/>
  <c r="G89" i="1"/>
  <c r="G110" i="1"/>
  <c r="AV110" i="1" s="1"/>
  <c r="G57" i="1"/>
  <c r="G109" i="1"/>
  <c r="G40" i="1"/>
  <c r="G62" i="1"/>
  <c r="G25" i="1"/>
  <c r="G66" i="1"/>
  <c r="AV66" i="1" s="1"/>
  <c r="G65" i="1"/>
  <c r="G9" i="1"/>
  <c r="AV9" i="1" s="1"/>
  <c r="G87" i="1"/>
  <c r="G36" i="1"/>
  <c r="G17" i="1"/>
  <c r="G19" i="1"/>
  <c r="G18" i="1"/>
  <c r="F124" i="1"/>
  <c r="F78" i="1"/>
  <c r="F98" i="1"/>
  <c r="F76" i="1"/>
  <c r="F64" i="1"/>
  <c r="F122" i="1"/>
  <c r="F43" i="1"/>
  <c r="F114" i="1"/>
  <c r="F77" i="1"/>
  <c r="F50" i="1"/>
  <c r="F230" i="1"/>
  <c r="F226" i="1"/>
  <c r="F222" i="1"/>
  <c r="F218" i="1"/>
  <c r="F214" i="1"/>
  <c r="F210" i="1"/>
  <c r="F206" i="1"/>
  <c r="F52" i="1"/>
  <c r="F198" i="1"/>
  <c r="F194" i="1"/>
  <c r="F190" i="1"/>
  <c r="F186" i="1"/>
  <c r="F60" i="1"/>
  <c r="F178" i="1"/>
  <c r="F174" i="1"/>
  <c r="F129" i="1"/>
  <c r="F166" i="1"/>
  <c r="F162" i="1"/>
  <c r="F158" i="1"/>
  <c r="F154" i="1"/>
  <c r="F150" i="1"/>
  <c r="F146" i="1"/>
  <c r="F142" i="1"/>
  <c r="F138" i="1"/>
  <c r="F134" i="1"/>
  <c r="F103" i="1"/>
  <c r="F53" i="1"/>
  <c r="F170" i="1"/>
  <c r="F106" i="1"/>
  <c r="F20" i="8"/>
  <c r="E20" i="8"/>
  <c r="D20" i="8"/>
  <c r="F19" i="8"/>
  <c r="E19" i="8"/>
  <c r="D19" i="8"/>
  <c r="F18" i="8"/>
  <c r="E18" i="8"/>
  <c r="D18" i="8"/>
  <c r="F17" i="8"/>
  <c r="E17" i="8"/>
  <c r="D17" i="8"/>
  <c r="F16" i="8"/>
  <c r="E16" i="8"/>
  <c r="D16" i="8"/>
  <c r="F15" i="8"/>
  <c r="E15" i="8"/>
  <c r="D15" i="8"/>
  <c r="F14" i="8"/>
  <c r="E14" i="8"/>
  <c r="D14" i="8"/>
  <c r="F13" i="8"/>
  <c r="E13" i="8"/>
  <c r="D13" i="8"/>
  <c r="F12" i="8"/>
  <c r="E12" i="8"/>
  <c r="D12" i="8"/>
  <c r="F11" i="8"/>
  <c r="E11" i="8"/>
  <c r="D11" i="8"/>
  <c r="F10" i="8"/>
  <c r="E10" i="8"/>
  <c r="D10" i="8"/>
  <c r="F9" i="8"/>
  <c r="E9" i="8"/>
  <c r="D9" i="8"/>
  <c r="F8" i="8"/>
  <c r="E8" i="8"/>
  <c r="D8" i="8"/>
  <c r="F7" i="8"/>
  <c r="E7" i="8"/>
  <c r="D7" i="8"/>
  <c r="F6" i="8"/>
  <c r="E6" i="8"/>
  <c r="D6" i="8"/>
  <c r="F5" i="8"/>
  <c r="E5" i="8"/>
  <c r="D5" i="8"/>
  <c r="F4" i="8"/>
  <c r="E4" i="8"/>
  <c r="D4" i="8"/>
  <c r="F3" i="8"/>
  <c r="D3" i="8"/>
  <c r="F20" i="7"/>
  <c r="E20" i="7"/>
  <c r="D20" i="7"/>
  <c r="F19" i="7"/>
  <c r="E19" i="7"/>
  <c r="D19" i="7"/>
  <c r="F18" i="7"/>
  <c r="E18" i="7"/>
  <c r="D18" i="7"/>
  <c r="F17" i="7"/>
  <c r="E17" i="7"/>
  <c r="D17" i="7"/>
  <c r="F16" i="7"/>
  <c r="E16" i="7"/>
  <c r="D16" i="7"/>
  <c r="F15" i="7"/>
  <c r="E15" i="7"/>
  <c r="D15" i="7"/>
  <c r="F14" i="7"/>
  <c r="E14" i="7"/>
  <c r="D14" i="7"/>
  <c r="F13" i="7"/>
  <c r="E13" i="7"/>
  <c r="D13" i="7"/>
  <c r="F12" i="7"/>
  <c r="E12" i="7"/>
  <c r="D12" i="7"/>
  <c r="F11" i="7"/>
  <c r="E11" i="7"/>
  <c r="D11" i="7"/>
  <c r="F10" i="7"/>
  <c r="E10" i="7"/>
  <c r="D10" i="7"/>
  <c r="F9" i="7"/>
  <c r="E9" i="7"/>
  <c r="D9" i="7"/>
  <c r="F8" i="7"/>
  <c r="E8" i="7"/>
  <c r="D8" i="7"/>
  <c r="F7" i="7"/>
  <c r="E7" i="7"/>
  <c r="D7" i="7"/>
  <c r="F6" i="7"/>
  <c r="E6" i="7"/>
  <c r="D6" i="7"/>
  <c r="F5" i="7"/>
  <c r="E5" i="7"/>
  <c r="D5" i="7"/>
  <c r="F4" i="7"/>
  <c r="E4" i="7"/>
  <c r="D4" i="7"/>
  <c r="F3" i="7"/>
  <c r="D3" i="7"/>
  <c r="E13" i="6"/>
  <c r="E14" i="6"/>
  <c r="E15" i="6"/>
  <c r="E16" i="6"/>
  <c r="E17" i="6"/>
  <c r="E18" i="6"/>
  <c r="E19" i="6"/>
  <c r="E12" i="6"/>
  <c r="E11" i="6"/>
  <c r="E6" i="6"/>
  <c r="E7" i="6"/>
  <c r="E8" i="6"/>
  <c r="E9" i="6"/>
  <c r="E10" i="6"/>
  <c r="E5" i="6"/>
  <c r="E4" i="6"/>
  <c r="D6" i="6"/>
  <c r="D7" i="6"/>
  <c r="D8" i="6"/>
  <c r="D9" i="6"/>
  <c r="D10" i="6"/>
  <c r="D11" i="6"/>
  <c r="D12" i="6"/>
  <c r="D13" i="6"/>
  <c r="D14" i="6"/>
  <c r="D15" i="6"/>
  <c r="D16" i="6"/>
  <c r="D17" i="6"/>
  <c r="D18" i="6"/>
  <c r="D19" i="6"/>
  <c r="D5" i="6"/>
  <c r="D4" i="6"/>
  <c r="D3" i="6"/>
  <c r="F19" i="6"/>
  <c r="F18" i="6"/>
  <c r="F17" i="6"/>
  <c r="F16" i="6"/>
  <c r="F15" i="6"/>
  <c r="F14" i="6"/>
  <c r="F13" i="6"/>
  <c r="F12" i="6"/>
  <c r="F11" i="6"/>
  <c r="F10" i="6"/>
  <c r="F9" i="6"/>
  <c r="F8" i="6"/>
  <c r="F7" i="6"/>
  <c r="F6" i="6"/>
  <c r="F5" i="6"/>
  <c r="F4" i="6"/>
  <c r="F3" i="6"/>
  <c r="F16" i="5"/>
  <c r="F15" i="5"/>
  <c r="F14" i="5"/>
  <c r="F13" i="5"/>
  <c r="F12" i="5"/>
  <c r="F11" i="5"/>
  <c r="F10" i="5"/>
  <c r="F9" i="5"/>
  <c r="F8" i="5"/>
  <c r="F7" i="5"/>
  <c r="F6" i="5"/>
  <c r="F5" i="5"/>
  <c r="F4" i="5"/>
  <c r="F3" i="5"/>
  <c r="F20" i="4"/>
  <c r="E20" i="4"/>
  <c r="D20" i="4"/>
  <c r="F19" i="4"/>
  <c r="E19" i="4"/>
  <c r="D19" i="4"/>
  <c r="F18" i="4"/>
  <c r="E18" i="4"/>
  <c r="D18" i="4"/>
  <c r="F17" i="4"/>
  <c r="E17" i="4"/>
  <c r="D17" i="4"/>
  <c r="F16" i="4"/>
  <c r="E16" i="4"/>
  <c r="D16" i="4"/>
  <c r="F15" i="4"/>
  <c r="E15" i="4"/>
  <c r="D15" i="4"/>
  <c r="F14" i="4"/>
  <c r="E14" i="4"/>
  <c r="D14" i="4"/>
  <c r="F13" i="4"/>
  <c r="E13" i="4"/>
  <c r="D13" i="4"/>
  <c r="F12" i="4"/>
  <c r="E12" i="4"/>
  <c r="D12" i="4"/>
  <c r="F11" i="4"/>
  <c r="E11" i="4"/>
  <c r="D11" i="4"/>
  <c r="F10" i="4"/>
  <c r="E10" i="4"/>
  <c r="D10" i="4"/>
  <c r="F9" i="4"/>
  <c r="E9" i="4"/>
  <c r="D9" i="4"/>
  <c r="F8" i="4"/>
  <c r="E8" i="4"/>
  <c r="D8" i="4"/>
  <c r="F7" i="4"/>
  <c r="E7" i="4"/>
  <c r="D7" i="4"/>
  <c r="F6" i="4"/>
  <c r="E6" i="4"/>
  <c r="D6" i="4"/>
  <c r="F5" i="4"/>
  <c r="E5" i="4"/>
  <c r="D5" i="4"/>
  <c r="F4" i="4"/>
  <c r="E4" i="4"/>
  <c r="D4" i="4"/>
  <c r="F3" i="4"/>
  <c r="D3" i="4"/>
  <c r="AV89" i="1" l="1"/>
  <c r="AV178" i="1"/>
  <c r="AM221" i="1"/>
  <c r="AS23" i="1"/>
  <c r="AS104" i="1"/>
  <c r="AS166" i="1"/>
  <c r="AS230" i="1"/>
  <c r="AS129" i="1"/>
  <c r="AS192" i="1"/>
  <c r="AR233" i="1"/>
  <c r="AS17" i="1"/>
  <c r="AS36" i="1"/>
  <c r="AQ233" i="1"/>
  <c r="AV65" i="1"/>
  <c r="AV109" i="1"/>
  <c r="AV107" i="1"/>
  <c r="AV134" i="1"/>
  <c r="AV190" i="1"/>
  <c r="AM203" i="1"/>
  <c r="AM219" i="1"/>
  <c r="AS111" i="1"/>
  <c r="AS199" i="1"/>
  <c r="AS144" i="1"/>
  <c r="AS208" i="1"/>
  <c r="AS106" i="1"/>
  <c r="AS136" i="1"/>
  <c r="AS168" i="1"/>
  <c r="AV40" i="1"/>
  <c r="AV36" i="1"/>
  <c r="AV18" i="1"/>
  <c r="AV87" i="1"/>
  <c r="AV25" i="1"/>
  <c r="AV57" i="1"/>
  <c r="AV118" i="1"/>
  <c r="AV146" i="1"/>
  <c r="AV52" i="1"/>
  <c r="AM206" i="1"/>
  <c r="AM222" i="1"/>
  <c r="AS134" i="1"/>
  <c r="AS198" i="1"/>
  <c r="AS98" i="1"/>
  <c r="AS160" i="1"/>
  <c r="AS224" i="1"/>
  <c r="AS85" i="1"/>
  <c r="AS100" i="1"/>
  <c r="AS117" i="1"/>
  <c r="AS131" i="1"/>
  <c r="AS146" i="1"/>
  <c r="AS162" i="1"/>
  <c r="AS178" i="1"/>
  <c r="AS194" i="1"/>
  <c r="AS133" i="1"/>
  <c r="AS196" i="1"/>
  <c r="AS11" i="1"/>
  <c r="AS15" i="1"/>
  <c r="AS29" i="1"/>
  <c r="AS34" i="1"/>
  <c r="AS44" i="1"/>
  <c r="AS6" i="1"/>
  <c r="AS55" i="1"/>
  <c r="AS184" i="1"/>
  <c r="AS86" i="1"/>
  <c r="AS148" i="1"/>
  <c r="AS212" i="1"/>
  <c r="AS200" i="1"/>
  <c r="AM141" i="1"/>
  <c r="AS102" i="1"/>
  <c r="AS164" i="1"/>
  <c r="AS228" i="1"/>
  <c r="AS43" i="1"/>
  <c r="AS152" i="1"/>
  <c r="AS216" i="1"/>
  <c r="AS95" i="1"/>
  <c r="AS110" i="1"/>
  <c r="AS125" i="1"/>
  <c r="AS140" i="1"/>
  <c r="AS156" i="1"/>
  <c r="AS172" i="1"/>
  <c r="AS188" i="1"/>
  <c r="AS204" i="1"/>
  <c r="AS220" i="1"/>
  <c r="AV17" i="1"/>
  <c r="AS182" i="1"/>
  <c r="AS232" i="1"/>
  <c r="AV220" i="1"/>
  <c r="AV67" i="1"/>
  <c r="AV156" i="1"/>
  <c r="AV14" i="1"/>
  <c r="AV112" i="1"/>
  <c r="AV152" i="1"/>
  <c r="AV216" i="1"/>
  <c r="AV139" i="1"/>
  <c r="AV84" i="1"/>
  <c r="AV212" i="1"/>
  <c r="AV164" i="1"/>
  <c r="AV228" i="1"/>
  <c r="AV128" i="1"/>
  <c r="AV193" i="1"/>
  <c r="AV95" i="1"/>
  <c r="AV119" i="1"/>
  <c r="AV215" i="1"/>
  <c r="AV10" i="1"/>
  <c r="AV45" i="1"/>
  <c r="AV51" i="1"/>
  <c r="AV217" i="1"/>
  <c r="AV116" i="1"/>
  <c r="AV63" i="1"/>
  <c r="AV104" i="1"/>
  <c r="AV85" i="1"/>
  <c r="AV21" i="1"/>
  <c r="AV209" i="1"/>
  <c r="AV15" i="1"/>
  <c r="AV113" i="1"/>
  <c r="AV145" i="1"/>
  <c r="AV115" i="1"/>
  <c r="AV165" i="1"/>
  <c r="AV41" i="1"/>
  <c r="AV42" i="1"/>
  <c r="AV177" i="1"/>
  <c r="AV5" i="1"/>
  <c r="AV78" i="1"/>
  <c r="AV142" i="1"/>
  <c r="AV210" i="1"/>
  <c r="AV230" i="1"/>
  <c r="AV68" i="1"/>
  <c r="AV54" i="1"/>
  <c r="AV147" i="1"/>
  <c r="AV50" i="1"/>
  <c r="AV77" i="1"/>
  <c r="AV114" i="1"/>
  <c r="AV124" i="1"/>
  <c r="AV138" i="1"/>
  <c r="AV158" i="1"/>
  <c r="AV60" i="1"/>
  <c r="AV218" i="1"/>
  <c r="AV199" i="1"/>
  <c r="AV160" i="1"/>
  <c r="AV192" i="1"/>
  <c r="AV224" i="1"/>
  <c r="AV64" i="1"/>
  <c r="AV53" i="1"/>
  <c r="AV174" i="1"/>
  <c r="AV198" i="1"/>
  <c r="AW73" i="1"/>
  <c r="AW127" i="1"/>
  <c r="AW74" i="1"/>
  <c r="AW97" i="1"/>
  <c r="AW145" i="1"/>
  <c r="AW161" i="1"/>
  <c r="AW177" i="1"/>
  <c r="AW197" i="1"/>
  <c r="AW213" i="1"/>
  <c r="AW229" i="1"/>
  <c r="AW36" i="1"/>
  <c r="AW62" i="1"/>
  <c r="AV12" i="1"/>
  <c r="AV86" i="1"/>
  <c r="AV30" i="1"/>
  <c r="AW11" i="1"/>
  <c r="AW23" i="1"/>
  <c r="AW28" i="1"/>
  <c r="AW44" i="1"/>
  <c r="AW113" i="1"/>
  <c r="AW123" i="1"/>
  <c r="AW149" i="1"/>
  <c r="AW50" i="1"/>
  <c r="AW114" i="1"/>
  <c r="AW124" i="1"/>
  <c r="AW103" i="1"/>
  <c r="AW154" i="1"/>
  <c r="AW174" i="1"/>
  <c r="AW198" i="1"/>
  <c r="AW13" i="1"/>
  <c r="AW34" i="1"/>
  <c r="AW47" i="1"/>
  <c r="AW32" i="1"/>
  <c r="AW108" i="1"/>
  <c r="AW132" i="1"/>
  <c r="AW171" i="1"/>
  <c r="AW139" i="1"/>
  <c r="AW128" i="1"/>
  <c r="AW92" i="1"/>
  <c r="AW187" i="1"/>
  <c r="AW111" i="1"/>
  <c r="AW104" i="1"/>
  <c r="AW202" i="1"/>
  <c r="AW148" i="1"/>
  <c r="AW164" i="1"/>
  <c r="AW121" i="1"/>
  <c r="AW196" i="1"/>
  <c r="AW193" i="1"/>
  <c r="AW215" i="1"/>
  <c r="AW231" i="1"/>
  <c r="AS108" i="1"/>
  <c r="AS171" i="1"/>
  <c r="AW84" i="1"/>
  <c r="AW37" i="1"/>
  <c r="AW93" i="1"/>
  <c r="AW220" i="1"/>
  <c r="AW232" i="1"/>
  <c r="AW218" i="1"/>
  <c r="AS81" i="1"/>
  <c r="AS158" i="1"/>
  <c r="AS222" i="1"/>
  <c r="AS4" i="1"/>
  <c r="AS13" i="1"/>
  <c r="AS21" i="1"/>
  <c r="AS30" i="1"/>
  <c r="AS32" i="1"/>
  <c r="AS45" i="1"/>
  <c r="AS59" i="1"/>
  <c r="AS67" i="1"/>
  <c r="AS46" i="1"/>
  <c r="AS82" i="1"/>
  <c r="AW205" i="1"/>
  <c r="AW217" i="1"/>
  <c r="AW206" i="1"/>
  <c r="AS210" i="1"/>
  <c r="AS16" i="1"/>
  <c r="AS28" i="1"/>
  <c r="AS54" i="1"/>
  <c r="AS68" i="1"/>
  <c r="AS73" i="1"/>
  <c r="AS88" i="1"/>
  <c r="AS96" i="1"/>
  <c r="AS103" i="1"/>
  <c r="AS112" i="1"/>
  <c r="AS120" i="1"/>
  <c r="AS126" i="1"/>
  <c r="AS155" i="1"/>
  <c r="AS141" i="1"/>
  <c r="AS149" i="1"/>
  <c r="AS157" i="1"/>
  <c r="AS165" i="1"/>
  <c r="AS173" i="1"/>
  <c r="AS181" i="1"/>
  <c r="AS189" i="1"/>
  <c r="AS197" i="1"/>
  <c r="AS205" i="1"/>
  <c r="AS213" i="1"/>
  <c r="AS221" i="1"/>
  <c r="AS229" i="1"/>
  <c r="AV62" i="1"/>
  <c r="AV70" i="1"/>
  <c r="AV90" i="1"/>
  <c r="AV8" i="1"/>
  <c r="AV117" i="1"/>
  <c r="AV188" i="1"/>
  <c r="AV80" i="1"/>
  <c r="AV125" i="1"/>
  <c r="AV168" i="1"/>
  <c r="AV232" i="1"/>
  <c r="AV4" i="1"/>
  <c r="AV167" i="1"/>
  <c r="AV35" i="1"/>
  <c r="AV59" i="1"/>
  <c r="AV227" i="1"/>
  <c r="AV163" i="1"/>
  <c r="AV201" i="1"/>
  <c r="AV132" i="1"/>
  <c r="AV101" i="1"/>
  <c r="AV91" i="1"/>
  <c r="AV171" i="1"/>
  <c r="AV179" i="1"/>
  <c r="AV229" i="1"/>
  <c r="AV79" i="1"/>
  <c r="AV99" i="1"/>
  <c r="AV121" i="1"/>
  <c r="AV26" i="1"/>
  <c r="AV96" i="1"/>
  <c r="AV24" i="1"/>
  <c r="AV39" i="1"/>
  <c r="AV161" i="1"/>
  <c r="AV155" i="1"/>
  <c r="AV225" i="1"/>
  <c r="AV11" i="1"/>
  <c r="AV205" i="1"/>
  <c r="AV83" i="1"/>
  <c r="AV47" i="1"/>
  <c r="AV219" i="1"/>
  <c r="AV73" i="1"/>
  <c r="AV127" i="1"/>
  <c r="AV197" i="1"/>
  <c r="AV213" i="1"/>
  <c r="AW87" i="1"/>
  <c r="AW110" i="1"/>
  <c r="AW226" i="1"/>
  <c r="AW55" i="1"/>
  <c r="AW19" i="1"/>
  <c r="AW40" i="1"/>
  <c r="AW89" i="1"/>
  <c r="AW166" i="1"/>
  <c r="AW8" i="1"/>
  <c r="AW29" i="1"/>
  <c r="AW56" i="1"/>
  <c r="AW67" i="1"/>
  <c r="AW100" i="1"/>
  <c r="AW102" i="1"/>
  <c r="AW9" i="1"/>
  <c r="AW107" i="1"/>
  <c r="AW70" i="1"/>
  <c r="AW190" i="1"/>
  <c r="AW214" i="1"/>
  <c r="AW42" i="1"/>
  <c r="AW33" i="1"/>
  <c r="AW41" i="1"/>
  <c r="AW58" i="1"/>
  <c r="AW115" i="1"/>
  <c r="AW131" i="1"/>
  <c r="AW165" i="1"/>
  <c r="AW76" i="1"/>
  <c r="AW78" i="1"/>
  <c r="AS78" i="1" s="1"/>
  <c r="AW64" i="1"/>
  <c r="AW138" i="1"/>
  <c r="AW158" i="1"/>
  <c r="AW60" i="1"/>
  <c r="AW16" i="1"/>
  <c r="AW91" i="1"/>
  <c r="AW20" i="1"/>
  <c r="AW63" i="1"/>
  <c r="AW105" i="1"/>
  <c r="AW79" i="1"/>
  <c r="AW101" i="1"/>
  <c r="AW54" i="1"/>
  <c r="AW143" i="1"/>
  <c r="AW51" i="1"/>
  <c r="AW175" i="1"/>
  <c r="AW191" i="1"/>
  <c r="AW125" i="1"/>
  <c r="AW88" i="1"/>
  <c r="AW136" i="1"/>
  <c r="AW152" i="1"/>
  <c r="AW168" i="1"/>
  <c r="AW184" i="1"/>
  <c r="AW200" i="1"/>
  <c r="AS10" i="1"/>
  <c r="AS27" i="1"/>
  <c r="AS42" i="1"/>
  <c r="AW211" i="1"/>
  <c r="AW227" i="1"/>
  <c r="AS123" i="1"/>
  <c r="AS186" i="1"/>
  <c r="AS58" i="1"/>
  <c r="AS66" i="1"/>
  <c r="AS52" i="1"/>
  <c r="AS80" i="1"/>
  <c r="AS87" i="1"/>
  <c r="AS94" i="1"/>
  <c r="AS101" i="1"/>
  <c r="AS109" i="1"/>
  <c r="AS118" i="1"/>
  <c r="AS124" i="1"/>
  <c r="AS132" i="1"/>
  <c r="AS139" i="1"/>
  <c r="AS147" i="1"/>
  <c r="AS159" i="1"/>
  <c r="AS163" i="1"/>
  <c r="AS92" i="1"/>
  <c r="AS179" i="1"/>
  <c r="AS187" i="1"/>
  <c r="AS195" i="1"/>
  <c r="AS203" i="1"/>
  <c r="AS211" i="1"/>
  <c r="AS219" i="1"/>
  <c r="AS227" i="1"/>
  <c r="AW22" i="1"/>
  <c r="AW80" i="1"/>
  <c r="AW204" i="1"/>
  <c r="AW216" i="1"/>
  <c r="AW228" i="1"/>
  <c r="AS40" i="1"/>
  <c r="AS113" i="1"/>
  <c r="AS174" i="1"/>
  <c r="AW225" i="1"/>
  <c r="AS226" i="1"/>
  <c r="AS31" i="1"/>
  <c r="AS47" i="1"/>
  <c r="AS63" i="1"/>
  <c r="AS64" i="1"/>
  <c r="AV140" i="1"/>
  <c r="AV29" i="1"/>
  <c r="AV126" i="1"/>
  <c r="AV204" i="1"/>
  <c r="AV75" i="1"/>
  <c r="AV88" i="1"/>
  <c r="AV184" i="1"/>
  <c r="AV38" i="1"/>
  <c r="AV196" i="1"/>
  <c r="AV111" i="1"/>
  <c r="AV148" i="1"/>
  <c r="AV133" i="1"/>
  <c r="AV173" i="1"/>
  <c r="AV223" i="1"/>
  <c r="AV32" i="1"/>
  <c r="AV72" i="1"/>
  <c r="AV49" i="1"/>
  <c r="AV180" i="1"/>
  <c r="AV187" i="1"/>
  <c r="AV130" i="1"/>
  <c r="AV37" i="1"/>
  <c r="AV82" i="1"/>
  <c r="AV74" i="1"/>
  <c r="AV61" i="1"/>
  <c r="AV131" i="1"/>
  <c r="AV189" i="1"/>
  <c r="AV23" i="1"/>
  <c r="AV97" i="1"/>
  <c r="AV28" i="1"/>
  <c r="AV159" i="1"/>
  <c r="AV123" i="1"/>
  <c r="AV137" i="1"/>
  <c r="AV105" i="1"/>
  <c r="AV33" i="1"/>
  <c r="AV122" i="1"/>
  <c r="AV154" i="1"/>
  <c r="AV222" i="1"/>
  <c r="AV3" i="1"/>
  <c r="AV7" i="1"/>
  <c r="AV13" i="1"/>
  <c r="AV27" i="1"/>
  <c r="AV34" i="1"/>
  <c r="AV31" i="1"/>
  <c r="AV191" i="1"/>
  <c r="AV231" i="1"/>
  <c r="AV76" i="1"/>
  <c r="AV98" i="1"/>
  <c r="AV43" i="1"/>
  <c r="AV103" i="1"/>
  <c r="AV150" i="1"/>
  <c r="AV129" i="1"/>
  <c r="AV194" i="1"/>
  <c r="AV71" i="1"/>
  <c r="AV144" i="1"/>
  <c r="AV176" i="1"/>
  <c r="AV208" i="1"/>
  <c r="AV106" i="1"/>
  <c r="AV162" i="1"/>
  <c r="AV186" i="1"/>
  <c r="AV206" i="1"/>
  <c r="AW82" i="1"/>
  <c r="AW120" i="1"/>
  <c r="AW159" i="1"/>
  <c r="AW182" i="1"/>
  <c r="AW141" i="1"/>
  <c r="AW157" i="1"/>
  <c r="AW169" i="1"/>
  <c r="AW181" i="1"/>
  <c r="AW201" i="1"/>
  <c r="AW221" i="1"/>
  <c r="AW18" i="1"/>
  <c r="AW66" i="1"/>
  <c r="AW178" i="1"/>
  <c r="AV55" i="1"/>
  <c r="AV100" i="1"/>
  <c r="AV102" i="1"/>
  <c r="AW6" i="1"/>
  <c r="AW85" i="1"/>
  <c r="AW26" i="1"/>
  <c r="AW46" i="1"/>
  <c r="AW94" i="1"/>
  <c r="AW96" i="1"/>
  <c r="AW155" i="1"/>
  <c r="AW173" i="1"/>
  <c r="AW77" i="1"/>
  <c r="AW43" i="1"/>
  <c r="AW106" i="1"/>
  <c r="AW142" i="1"/>
  <c r="AW162" i="1"/>
  <c r="AW186" i="1"/>
  <c r="AW7" i="1"/>
  <c r="AW27" i="1"/>
  <c r="AW31" i="1"/>
  <c r="AW68" i="1"/>
  <c r="AW95" i="1"/>
  <c r="AW119" i="1"/>
  <c r="AW72" i="1"/>
  <c r="AW180" i="1"/>
  <c r="AW147" i="1"/>
  <c r="AW163" i="1"/>
  <c r="AW179" i="1"/>
  <c r="AW195" i="1"/>
  <c r="AW126" i="1"/>
  <c r="AW81" i="1"/>
  <c r="AW140" i="1"/>
  <c r="AW156" i="1"/>
  <c r="AW172" i="1"/>
  <c r="AW188" i="1"/>
  <c r="AW153" i="1"/>
  <c r="AW3" i="1"/>
  <c r="AS3" i="1" s="1"/>
  <c r="AW207" i="1"/>
  <c r="AW223" i="1"/>
  <c r="AW222" i="1"/>
  <c r="AS138" i="1"/>
  <c r="AS202" i="1"/>
  <c r="AS9" i="1"/>
  <c r="AS19" i="1"/>
  <c r="AS41" i="1"/>
  <c r="AW4" i="1"/>
  <c r="AW35" i="1"/>
  <c r="AW75" i="1"/>
  <c r="AW38" i="1"/>
  <c r="AW112" i="1"/>
  <c r="AW212" i="1"/>
  <c r="AW224" i="1"/>
  <c r="AS69" i="1"/>
  <c r="AS127" i="1"/>
  <c r="AS190" i="1"/>
  <c r="AS8" i="1"/>
  <c r="AS18" i="1"/>
  <c r="AS24" i="1"/>
  <c r="AS26" i="1"/>
  <c r="AS38" i="1"/>
  <c r="AS53" i="1"/>
  <c r="AS62" i="1"/>
  <c r="AS71" i="1"/>
  <c r="AS83" i="1"/>
  <c r="AS7" i="1"/>
  <c r="AS25" i="1"/>
  <c r="AS39" i="1"/>
  <c r="AS75" i="1"/>
  <c r="AS84" i="1"/>
  <c r="AS91" i="1"/>
  <c r="AS99" i="1"/>
  <c r="AS107" i="1"/>
  <c r="AS116" i="1"/>
  <c r="AS122" i="1"/>
  <c r="AS130" i="1"/>
  <c r="AS137" i="1"/>
  <c r="AS145" i="1"/>
  <c r="AS153" i="1"/>
  <c r="AS161" i="1"/>
  <c r="AS169" i="1"/>
  <c r="AS177" i="1"/>
  <c r="AS185" i="1"/>
  <c r="AS193" i="1"/>
  <c r="AS201" i="1"/>
  <c r="AS209" i="1"/>
  <c r="AS217" i="1"/>
  <c r="AS225" i="1"/>
  <c r="AV19" i="1"/>
  <c r="AV172" i="1"/>
  <c r="AV56" i="1"/>
  <c r="AV81" i="1"/>
  <c r="AV22" i="1"/>
  <c r="AV93" i="1"/>
  <c r="AV136" i="1"/>
  <c r="AV200" i="1"/>
  <c r="AV202" i="1"/>
  <c r="AV211" i="1"/>
  <c r="AV183" i="1"/>
  <c r="AV135" i="1"/>
  <c r="AV181" i="1"/>
  <c r="AV108" i="1"/>
  <c r="AV195" i="1"/>
  <c r="AV16" i="1"/>
  <c r="AV20" i="1"/>
  <c r="AV151" i="1"/>
  <c r="AV207" i="1"/>
  <c r="AV48" i="1"/>
  <c r="AV92" i="1"/>
  <c r="AV6" i="1"/>
  <c r="AV58" i="1"/>
  <c r="AV185" i="1"/>
  <c r="AV46" i="1"/>
  <c r="AV182" i="1"/>
  <c r="AV221" i="1"/>
  <c r="AV69" i="1"/>
  <c r="AV149" i="1"/>
  <c r="AV94" i="1"/>
  <c r="AV44" i="1"/>
  <c r="AV153" i="1"/>
  <c r="AV143" i="1"/>
  <c r="AV175" i="1"/>
  <c r="AV203" i="1"/>
  <c r="AV120" i="1"/>
  <c r="AV141" i="1"/>
  <c r="AV157" i="1"/>
  <c r="AV169" i="1"/>
  <c r="AW109" i="1"/>
  <c r="AW170" i="1"/>
  <c r="AW130" i="1"/>
  <c r="AW65" i="1"/>
  <c r="AW57" i="1"/>
  <c r="AW146" i="1"/>
  <c r="AW12" i="1"/>
  <c r="AS12" i="1" s="1"/>
  <c r="AW86" i="1"/>
  <c r="AW30" i="1"/>
  <c r="AW90" i="1"/>
  <c r="AW117" i="1"/>
  <c r="AW17" i="1"/>
  <c r="AW25" i="1"/>
  <c r="AW118" i="1"/>
  <c r="AW134" i="1"/>
  <c r="AW52" i="1"/>
  <c r="AW15" i="1"/>
  <c r="AW24" i="1"/>
  <c r="AW61" i="1"/>
  <c r="AW69" i="1"/>
  <c r="AW21" i="1"/>
  <c r="AW39" i="1"/>
  <c r="AW137" i="1"/>
  <c r="AW189" i="1"/>
  <c r="AW98" i="1"/>
  <c r="AW122" i="1"/>
  <c r="AW53" i="1"/>
  <c r="AW150" i="1"/>
  <c r="AW129" i="1"/>
  <c r="AW194" i="1"/>
  <c r="AW10" i="1"/>
  <c r="AW49" i="1"/>
  <c r="AW45" i="1"/>
  <c r="AW48" i="1"/>
  <c r="AW99" i="1"/>
  <c r="AW116" i="1"/>
  <c r="AW133" i="1"/>
  <c r="AW135" i="1"/>
  <c r="AW151" i="1"/>
  <c r="AW167" i="1"/>
  <c r="AW183" i="1"/>
  <c r="AW5" i="1"/>
  <c r="AW71" i="1"/>
  <c r="AW199" i="1"/>
  <c r="AW144" i="1"/>
  <c r="AW160" i="1"/>
  <c r="AW176" i="1"/>
  <c r="AW192" i="1"/>
  <c r="AW185" i="1"/>
  <c r="AS20" i="1"/>
  <c r="AS35" i="1"/>
  <c r="AS57" i="1"/>
  <c r="AW203" i="1"/>
  <c r="AW219" i="1"/>
  <c r="AW210" i="1"/>
  <c r="AS93" i="1"/>
  <c r="AS154" i="1"/>
  <c r="AS218" i="1"/>
  <c r="AS119" i="1"/>
  <c r="AS50" i="1"/>
  <c r="AS61" i="1"/>
  <c r="AS70" i="1"/>
  <c r="AS77" i="1"/>
  <c r="AS48" i="1"/>
  <c r="AS90" i="1"/>
  <c r="AS97" i="1"/>
  <c r="AS105" i="1"/>
  <c r="AS114" i="1"/>
  <c r="AS121" i="1"/>
  <c r="AS128" i="1"/>
  <c r="AS135" i="1"/>
  <c r="AS143" i="1"/>
  <c r="AS151" i="1"/>
  <c r="AS170" i="1"/>
  <c r="AS167" i="1"/>
  <c r="AS175" i="1"/>
  <c r="AS183" i="1"/>
  <c r="AS191" i="1"/>
  <c r="AS180" i="1"/>
  <c r="AS207" i="1"/>
  <c r="AS215" i="1"/>
  <c r="AS223" i="1"/>
  <c r="AS231" i="1"/>
  <c r="AW14" i="1"/>
  <c r="AW83" i="1"/>
  <c r="AW59" i="1"/>
  <c r="AW208" i="1"/>
  <c r="AW230" i="1"/>
  <c r="AS74" i="1"/>
  <c r="AS142" i="1"/>
  <c r="AS206" i="1"/>
  <c r="AW209" i="1"/>
  <c r="AS5" i="1"/>
  <c r="AS22" i="1"/>
  <c r="AS37" i="1"/>
  <c r="AS60" i="1"/>
  <c r="AS72" i="1"/>
  <c r="AM160" i="1"/>
  <c r="AM198" i="1"/>
  <c r="AM231" i="1"/>
  <c r="AM195" i="1"/>
  <c r="AM200" i="1"/>
  <c r="AM216" i="1"/>
  <c r="AM232" i="1"/>
  <c r="AM212" i="1"/>
  <c r="AM228" i="1"/>
  <c r="AM196" i="1"/>
  <c r="AM207" i="1"/>
  <c r="AM215" i="1"/>
  <c r="AM223" i="1"/>
  <c r="AM191" i="1"/>
  <c r="AM188" i="1"/>
  <c r="AM136" i="1"/>
  <c r="AM173" i="1"/>
  <c r="AM205" i="1"/>
  <c r="AM194" i="1"/>
  <c r="AM100" i="1"/>
  <c r="AM85" i="1"/>
  <c r="AM184" i="1"/>
  <c r="AM152" i="1"/>
  <c r="AM168" i="1"/>
  <c r="O78" i="1"/>
  <c r="AM189" i="1"/>
  <c r="AM153" i="1"/>
  <c r="AM148" i="1"/>
  <c r="AM121" i="1"/>
  <c r="AM214" i="1"/>
  <c r="AM230" i="1"/>
  <c r="AM201" i="1"/>
  <c r="AM217" i="1"/>
  <c r="AM192" i="1"/>
  <c r="I177" i="1"/>
  <c r="AM106" i="1"/>
  <c r="AM140" i="1"/>
  <c r="AM149" i="1"/>
  <c r="AM172" i="1"/>
  <c r="AM211" i="1"/>
  <c r="AM227" i="1"/>
  <c r="AM197" i="1"/>
  <c r="AM210" i="1"/>
  <c r="AM218" i="1"/>
  <c r="AM226" i="1"/>
  <c r="AM204" i="1"/>
  <c r="AM208" i="1"/>
  <c r="AM220" i="1"/>
  <c r="AM224" i="1"/>
  <c r="I185" i="1"/>
  <c r="AM181" i="1"/>
  <c r="AM145" i="1"/>
  <c r="AM161" i="1"/>
  <c r="AM177" i="1"/>
  <c r="AM209" i="1"/>
  <c r="AM213" i="1"/>
  <c r="AM225" i="1"/>
  <c r="AM229" i="1"/>
  <c r="AM52" i="1"/>
  <c r="AM156" i="1"/>
  <c r="AM164" i="1"/>
  <c r="AM134" i="1"/>
  <c r="AM185" i="1"/>
  <c r="AM193" i="1"/>
  <c r="AM144" i="1"/>
  <c r="AM176" i="1"/>
  <c r="AM159" i="1"/>
  <c r="AM114" i="1"/>
  <c r="AM23" i="1"/>
  <c r="AM40" i="1"/>
  <c r="AM62" i="1"/>
  <c r="AM64" i="1"/>
  <c r="AK233" i="1"/>
  <c r="AM138" i="1"/>
  <c r="AM6" i="1"/>
  <c r="AL233" i="1"/>
  <c r="AM139" i="1"/>
  <c r="AM147" i="1"/>
  <c r="AM128" i="1"/>
  <c r="AM92" i="1"/>
  <c r="AM179" i="1"/>
  <c r="AM137" i="1"/>
  <c r="AM143" i="1"/>
  <c r="AM51" i="1"/>
  <c r="AM169" i="1"/>
  <c r="AM175" i="1"/>
  <c r="AM165" i="1"/>
  <c r="AM157" i="1"/>
  <c r="AM186" i="1"/>
  <c r="AM187" i="1"/>
  <c r="AM150" i="1"/>
  <c r="AM166" i="1"/>
  <c r="AM60" i="1"/>
  <c r="AM190" i="1"/>
  <c r="AM163" i="1"/>
  <c r="AM135" i="1"/>
  <c r="AM151" i="1"/>
  <c r="AM167" i="1"/>
  <c r="AM183" i="1"/>
  <c r="AM146" i="1"/>
  <c r="AM154" i="1"/>
  <c r="AM162" i="1"/>
  <c r="AM129" i="1"/>
  <c r="AM178" i="1"/>
  <c r="AM142" i="1"/>
  <c r="AM158" i="1"/>
  <c r="AM174" i="1"/>
  <c r="AM33" i="1"/>
  <c r="AM44" i="1"/>
  <c r="AM55" i="1"/>
  <c r="AM20" i="1"/>
  <c r="AM26" i="1"/>
  <c r="I29" i="1"/>
  <c r="AM170" i="1"/>
  <c r="AM97" i="1"/>
  <c r="AM25" i="1"/>
  <c r="AM77" i="1"/>
  <c r="AM155" i="1"/>
  <c r="AM15" i="1"/>
  <c r="AM93" i="1"/>
  <c r="AM113" i="1"/>
  <c r="AM126" i="1"/>
  <c r="AM202" i="1"/>
  <c r="AM18" i="1"/>
  <c r="AM21" i="1"/>
  <c r="AM58" i="1"/>
  <c r="AM46" i="1"/>
  <c r="AM78" i="1"/>
  <c r="AM73" i="1"/>
  <c r="AM88" i="1"/>
  <c r="AM63" i="1"/>
  <c r="AM57" i="1"/>
  <c r="AM72" i="1"/>
  <c r="AM59" i="1"/>
  <c r="AM47" i="1"/>
  <c r="AM83" i="1"/>
  <c r="AM86" i="1"/>
  <c r="AM110" i="1"/>
  <c r="AM118" i="1"/>
  <c r="AM130" i="1"/>
  <c r="AM53" i="1"/>
  <c r="AM16" i="1"/>
  <c r="AM29" i="1"/>
  <c r="AM34" i="1"/>
  <c r="AM68" i="1"/>
  <c r="AM70" i="1"/>
  <c r="AM79" i="1"/>
  <c r="AM84" i="1"/>
  <c r="AM107" i="1"/>
  <c r="AM82" i="1"/>
  <c r="AM24" i="1"/>
  <c r="AM35" i="1"/>
  <c r="AM67" i="1"/>
  <c r="AM76" i="1"/>
  <c r="AM74" i="1"/>
  <c r="AM9" i="1"/>
  <c r="AM13" i="1"/>
  <c r="AM31" i="1"/>
  <c r="AM17" i="1"/>
  <c r="AM65" i="1"/>
  <c r="AM109" i="1"/>
  <c r="AM132" i="1"/>
  <c r="AM127" i="1"/>
  <c r="AM81" i="1"/>
  <c r="AM27" i="1"/>
  <c r="AM61" i="1"/>
  <c r="AM66" i="1"/>
  <c r="AM95" i="1"/>
  <c r="AM131" i="1"/>
  <c r="AM10" i="1"/>
  <c r="AM104" i="1"/>
  <c r="AM120" i="1"/>
  <c r="AM171" i="1"/>
  <c r="AM87" i="1"/>
  <c r="AM8" i="1"/>
  <c r="AM37" i="1"/>
  <c r="AM39" i="1"/>
  <c r="AM115" i="1"/>
  <c r="AM111" i="1"/>
  <c r="AM124" i="1"/>
  <c r="AM91" i="1"/>
  <c r="AM96" i="1"/>
  <c r="AM101" i="1"/>
  <c r="AM112" i="1"/>
  <c r="AM116" i="1"/>
  <c r="AM119" i="1"/>
  <c r="AM125" i="1"/>
  <c r="AM180" i="1"/>
  <c r="AM4" i="1"/>
  <c r="AM30" i="1"/>
  <c r="AM32" i="1"/>
  <c r="AM71" i="1"/>
  <c r="AM80" i="1"/>
  <c r="AM38" i="1"/>
  <c r="AM56" i="1"/>
  <c r="AM94" i="1"/>
  <c r="AM105" i="1"/>
  <c r="AM117" i="1"/>
  <c r="AM123" i="1"/>
  <c r="AM182" i="1"/>
  <c r="AM43" i="1"/>
  <c r="AM103" i="1"/>
  <c r="AM11" i="1"/>
  <c r="AM14" i="1"/>
  <c r="AM28" i="1"/>
  <c r="AM42" i="1"/>
  <c r="AM49" i="1"/>
  <c r="AM75" i="1"/>
  <c r="AM54" i="1"/>
  <c r="AM19" i="1"/>
  <c r="AM41" i="1"/>
  <c r="AM89" i="1"/>
  <c r="AM98" i="1"/>
  <c r="AM108" i="1"/>
  <c r="AM102" i="1"/>
  <c r="AM122" i="1"/>
  <c r="AM133" i="1"/>
  <c r="AM199" i="1"/>
  <c r="AM22" i="1"/>
  <c r="AM36" i="1"/>
  <c r="AM45" i="1"/>
  <c r="AM69" i="1"/>
  <c r="AM48" i="1"/>
  <c r="AM90" i="1"/>
  <c r="AM99" i="1"/>
  <c r="I176" i="1"/>
  <c r="I90" i="1"/>
  <c r="O26" i="1"/>
  <c r="O82" i="1"/>
  <c r="O19" i="1"/>
  <c r="I201" i="1"/>
  <c r="I187" i="1"/>
  <c r="I112" i="1"/>
  <c r="I111" i="1"/>
  <c r="O53" i="1"/>
  <c r="O146" i="1"/>
  <c r="O142" i="1"/>
  <c r="AG36" i="1"/>
  <c r="I8" i="1"/>
  <c r="I14" i="1"/>
  <c r="I147" i="1"/>
  <c r="I221" i="1"/>
  <c r="O42" i="1"/>
  <c r="O109" i="1"/>
  <c r="I54" i="1"/>
  <c r="O15" i="1"/>
  <c r="O41" i="1"/>
  <c r="O44" i="1"/>
  <c r="O138" i="1"/>
  <c r="O36" i="1"/>
  <c r="I193" i="1"/>
  <c r="I68" i="1"/>
  <c r="I131" i="1"/>
  <c r="I159" i="1"/>
  <c r="AG176" i="1"/>
  <c r="I155" i="1"/>
  <c r="AG19" i="1"/>
  <c r="O134" i="1"/>
  <c r="O150" i="1"/>
  <c r="I22" i="1"/>
  <c r="I84" i="1"/>
  <c r="I59" i="1"/>
  <c r="I56" i="1"/>
  <c r="AG8" i="1"/>
  <c r="AG29" i="1"/>
  <c r="AG38" i="1"/>
  <c r="AG202" i="1"/>
  <c r="AG168" i="1"/>
  <c r="AG172" i="1"/>
  <c r="AG196" i="1"/>
  <c r="AG33" i="1"/>
  <c r="AG82" i="1"/>
  <c r="AG44" i="1"/>
  <c r="AG76" i="1"/>
  <c r="AG89" i="1"/>
  <c r="AG114" i="1"/>
  <c r="AG70" i="1"/>
  <c r="AG53" i="1"/>
  <c r="AG142" i="1"/>
  <c r="AG146" i="1"/>
  <c r="AG158" i="1"/>
  <c r="AG162" i="1"/>
  <c r="AG174" i="1"/>
  <c r="AG178" i="1"/>
  <c r="AG190" i="1"/>
  <c r="AG194" i="1"/>
  <c r="AG206" i="1"/>
  <c r="AG210" i="1"/>
  <c r="AG222" i="1"/>
  <c r="AG226" i="1"/>
  <c r="AG135" i="1"/>
  <c r="AG128" i="1"/>
  <c r="AG228" i="1"/>
  <c r="AG73" i="1"/>
  <c r="AG120" i="1"/>
  <c r="AG127" i="1"/>
  <c r="AG137" i="1"/>
  <c r="AG153" i="1"/>
  <c r="AG169" i="1"/>
  <c r="AG185" i="1"/>
  <c r="AG201" i="1"/>
  <c r="AG217" i="1"/>
  <c r="AG163" i="1"/>
  <c r="AG179" i="1"/>
  <c r="AG195" i="1"/>
  <c r="AG211" i="1"/>
  <c r="AG227" i="1"/>
  <c r="AG119" i="1"/>
  <c r="AG113" i="1"/>
  <c r="AG39" i="1"/>
  <c r="O214" i="1"/>
  <c r="O157" i="1"/>
  <c r="O173" i="1"/>
  <c r="O189" i="1"/>
  <c r="O205" i="1"/>
  <c r="O221" i="1"/>
  <c r="I165" i="1"/>
  <c r="O170" i="1"/>
  <c r="AG139" i="1"/>
  <c r="O9" i="1"/>
  <c r="O40" i="1"/>
  <c r="O57" i="1"/>
  <c r="AG134" i="1"/>
  <c r="AG150" i="1"/>
  <c r="AG166" i="1"/>
  <c r="AG60" i="1"/>
  <c r="AG198" i="1"/>
  <c r="AG214" i="1"/>
  <c r="AG230" i="1"/>
  <c r="AG147" i="1"/>
  <c r="AG208" i="1"/>
  <c r="AG152" i="1"/>
  <c r="AG156" i="1"/>
  <c r="AG121" i="1"/>
  <c r="AG216" i="1"/>
  <c r="AG220" i="1"/>
  <c r="AG143" i="1"/>
  <c r="AG149" i="1"/>
  <c r="AG165" i="1"/>
  <c r="AG181" i="1"/>
  <c r="AG197" i="1"/>
  <c r="AG213" i="1"/>
  <c r="AG229" i="1"/>
  <c r="AG51" i="1"/>
  <c r="AG175" i="1"/>
  <c r="AG191" i="1"/>
  <c r="AG207" i="1"/>
  <c r="AG223" i="1"/>
  <c r="I161" i="1"/>
  <c r="AG144" i="1"/>
  <c r="AG224" i="1"/>
  <c r="AG17" i="1"/>
  <c r="AG87" i="1"/>
  <c r="AG62" i="1"/>
  <c r="AG10" i="1"/>
  <c r="AG49" i="1"/>
  <c r="AG4" i="1"/>
  <c r="AG35" i="1"/>
  <c r="AG80" i="1"/>
  <c r="AG75" i="1"/>
  <c r="AG90" i="1"/>
  <c r="AG112" i="1"/>
  <c r="AG111" i="1"/>
  <c r="AG136" i="1"/>
  <c r="AG140" i="1"/>
  <c r="AG164" i="1"/>
  <c r="AG200" i="1"/>
  <c r="AG204" i="1"/>
  <c r="AG6" i="1"/>
  <c r="AG42" i="1"/>
  <c r="AG26" i="1"/>
  <c r="AG41" i="1"/>
  <c r="AG57" i="1"/>
  <c r="AG107" i="1"/>
  <c r="AG170" i="1"/>
  <c r="AG138" i="1"/>
  <c r="AG154" i="1"/>
  <c r="AG129" i="1"/>
  <c r="AG186" i="1"/>
  <c r="AG52" i="1"/>
  <c r="AG218" i="1"/>
  <c r="AG45" i="1"/>
  <c r="AG48" i="1"/>
  <c r="AG99" i="1"/>
  <c r="AG72" i="1"/>
  <c r="AG54" i="1"/>
  <c r="AG151" i="1"/>
  <c r="AG232" i="1"/>
  <c r="AG182" i="1"/>
  <c r="AG145" i="1"/>
  <c r="AG161" i="1"/>
  <c r="AG177" i="1"/>
  <c r="AG193" i="1"/>
  <c r="AG209" i="1"/>
  <c r="AG225" i="1"/>
  <c r="AG92" i="1"/>
  <c r="AG187" i="1"/>
  <c r="AG203" i="1"/>
  <c r="AG219" i="1"/>
  <c r="AG160" i="1"/>
  <c r="AG148" i="1"/>
  <c r="AG184" i="1"/>
  <c r="AG188" i="1"/>
  <c r="AG212" i="1"/>
  <c r="AG141" i="1"/>
  <c r="AG157" i="1"/>
  <c r="AG173" i="1"/>
  <c r="AG189" i="1"/>
  <c r="AG205" i="1"/>
  <c r="AG221" i="1"/>
  <c r="AG167" i="1"/>
  <c r="AG183" i="1"/>
  <c r="AG5" i="1"/>
  <c r="AG215" i="1"/>
  <c r="AG231" i="1"/>
  <c r="AG192" i="1"/>
  <c r="AG14" i="1"/>
  <c r="AG100" i="1"/>
  <c r="M233" i="1"/>
  <c r="AG18" i="1"/>
  <c r="AG9" i="1"/>
  <c r="AG7" i="1"/>
  <c r="AG27" i="1"/>
  <c r="AG71" i="1"/>
  <c r="AG37" i="1"/>
  <c r="AG59" i="1"/>
  <c r="AG88" i="1"/>
  <c r="AG81" i="1"/>
  <c r="AG11" i="1"/>
  <c r="AG24" i="1"/>
  <c r="AG28" i="1"/>
  <c r="AG46" i="1"/>
  <c r="AG40" i="1"/>
  <c r="AG109" i="1"/>
  <c r="AG50" i="1"/>
  <c r="AG110" i="1"/>
  <c r="AG78" i="1"/>
  <c r="AG122" i="1"/>
  <c r="AG106" i="1"/>
  <c r="AG31" i="1"/>
  <c r="AG68" i="1"/>
  <c r="AG95" i="1"/>
  <c r="AG55" i="1"/>
  <c r="AG171" i="1"/>
  <c r="AG58" i="1"/>
  <c r="AG21" i="1"/>
  <c r="AG96" i="1"/>
  <c r="AG74" i="1"/>
  <c r="S233" i="1"/>
  <c r="G233" i="1"/>
  <c r="AG86" i="1"/>
  <c r="AG102" i="1"/>
  <c r="AG84" i="1"/>
  <c r="AG124" i="1"/>
  <c r="AE233" i="1"/>
  <c r="AG91" i="1"/>
  <c r="AG30" i="1"/>
  <c r="AG93" i="1"/>
  <c r="AG77" i="1"/>
  <c r="AG64" i="1"/>
  <c r="AG20" i="1"/>
  <c r="AG105" i="1"/>
  <c r="AG130" i="1"/>
  <c r="AG131" i="1"/>
  <c r="AG159" i="1"/>
  <c r="AG66" i="1"/>
  <c r="AG65" i="1"/>
  <c r="AG22" i="1"/>
  <c r="AG83" i="1"/>
  <c r="AG199" i="1"/>
  <c r="AG16" i="1"/>
  <c r="AG85" i="1"/>
  <c r="AG103" i="1"/>
  <c r="AG63" i="1"/>
  <c r="AG79" i="1"/>
  <c r="AG132" i="1"/>
  <c r="O18" i="1"/>
  <c r="O25" i="1"/>
  <c r="O77" i="1"/>
  <c r="O122" i="1"/>
  <c r="AG25" i="1"/>
  <c r="AG3" i="1"/>
  <c r="AG13" i="1"/>
  <c r="AG34" i="1"/>
  <c r="AG56" i="1"/>
  <c r="AG67" i="1"/>
  <c r="AG117" i="1"/>
  <c r="AG125" i="1"/>
  <c r="AG126" i="1"/>
  <c r="AG104" i="1"/>
  <c r="AG15" i="1"/>
  <c r="AG23" i="1"/>
  <c r="AG61" i="1"/>
  <c r="AG69" i="1"/>
  <c r="AG98" i="1"/>
  <c r="AG118" i="1"/>
  <c r="AG43" i="1"/>
  <c r="AG47" i="1"/>
  <c r="AG32" i="1"/>
  <c r="AG108" i="1"/>
  <c r="AG116" i="1"/>
  <c r="AG101" i="1"/>
  <c r="AG133" i="1"/>
  <c r="AG180" i="1"/>
  <c r="AG94" i="1"/>
  <c r="AG115" i="1"/>
  <c r="AG123" i="1"/>
  <c r="AG155" i="1"/>
  <c r="AG97" i="1"/>
  <c r="I93" i="1"/>
  <c r="I30" i="1"/>
  <c r="Y233" i="1"/>
  <c r="I3" i="1"/>
  <c r="AG12" i="1"/>
  <c r="O166" i="1"/>
  <c r="O85" i="1"/>
  <c r="O120" i="1"/>
  <c r="O39" i="1"/>
  <c r="O127" i="1"/>
  <c r="O155" i="1"/>
  <c r="O74" i="1"/>
  <c r="O97" i="1"/>
  <c r="O141" i="1"/>
  <c r="O149" i="1"/>
  <c r="O89" i="1"/>
  <c r="O165" i="1"/>
  <c r="O197" i="1"/>
  <c r="O229" i="1"/>
  <c r="O60" i="1"/>
  <c r="O181" i="1"/>
  <c r="O213" i="1"/>
  <c r="I194" i="1"/>
  <c r="O198" i="1"/>
  <c r="O94" i="1"/>
  <c r="O21" i="1"/>
  <c r="O107" i="1"/>
  <c r="O64" i="1"/>
  <c r="I124" i="1"/>
  <c r="I18" i="1"/>
  <c r="I17" i="1"/>
  <c r="I25" i="1"/>
  <c r="I89" i="1"/>
  <c r="I118" i="1"/>
  <c r="I134" i="1"/>
  <c r="I106" i="1"/>
  <c r="I162" i="1"/>
  <c r="I146" i="1"/>
  <c r="O4" i="1"/>
  <c r="O84" i="1"/>
  <c r="O35" i="1"/>
  <c r="O37" i="1"/>
  <c r="O38" i="1"/>
  <c r="O59" i="1"/>
  <c r="O111" i="1"/>
  <c r="O104" i="1"/>
  <c r="O202" i="1"/>
  <c r="O148" i="1"/>
  <c r="O164" i="1"/>
  <c r="O121" i="1"/>
  <c r="O196" i="1"/>
  <c r="O212" i="1"/>
  <c r="O228" i="1"/>
  <c r="I31" i="1"/>
  <c r="I213" i="1"/>
  <c r="I46" i="1"/>
  <c r="I127" i="1"/>
  <c r="I33" i="1"/>
  <c r="I87" i="1"/>
  <c r="I57" i="1"/>
  <c r="I166" i="1"/>
  <c r="I214" i="1"/>
  <c r="I7" i="1"/>
  <c r="I98" i="1"/>
  <c r="I65" i="1"/>
  <c r="I40" i="1"/>
  <c r="I192" i="1"/>
  <c r="I173" i="1"/>
  <c r="I205" i="1"/>
  <c r="I189" i="1"/>
  <c r="O158" i="1"/>
  <c r="I224" i="1"/>
  <c r="I135" i="1"/>
  <c r="I91" i="1"/>
  <c r="I223" i="1"/>
  <c r="I58" i="1"/>
  <c r="I145" i="1"/>
  <c r="I225" i="1"/>
  <c r="I74" i="1"/>
  <c r="O154" i="1"/>
  <c r="O114" i="1"/>
  <c r="O105" i="1"/>
  <c r="O151" i="1"/>
  <c r="O215" i="1"/>
  <c r="I71" i="1"/>
  <c r="I4" i="1"/>
  <c r="I38" i="1"/>
  <c r="I188" i="1"/>
  <c r="I175" i="1"/>
  <c r="I143" i="1"/>
  <c r="I137" i="1"/>
  <c r="O218" i="1"/>
  <c r="O87" i="1"/>
  <c r="O106" i="1"/>
  <c r="O79" i="1"/>
  <c r="O133" i="1"/>
  <c r="O167" i="1"/>
  <c r="O5" i="1"/>
  <c r="I150" i="1"/>
  <c r="O23" i="1"/>
  <c r="O69" i="1"/>
  <c r="O232" i="1"/>
  <c r="O62" i="1"/>
  <c r="O76" i="1"/>
  <c r="O103" i="1"/>
  <c r="I153" i="1"/>
  <c r="O50" i="1"/>
  <c r="O55" i="1"/>
  <c r="O135" i="1"/>
  <c r="O183" i="1"/>
  <c r="O231" i="1"/>
  <c r="I198" i="1"/>
  <c r="O17" i="1"/>
  <c r="O118" i="1"/>
  <c r="I80" i="1"/>
  <c r="I35" i="1"/>
  <c r="O230" i="1"/>
  <c r="O6" i="1"/>
  <c r="O11" i="1"/>
  <c r="O28" i="1"/>
  <c r="O58" i="1"/>
  <c r="O73" i="1"/>
  <c r="O113" i="1"/>
  <c r="O161" i="1"/>
  <c r="O177" i="1"/>
  <c r="O193" i="1"/>
  <c r="O209" i="1"/>
  <c r="O225" i="1"/>
  <c r="O129" i="1"/>
  <c r="O124" i="1"/>
  <c r="O3" i="1"/>
  <c r="O7" i="1"/>
  <c r="O13" i="1"/>
  <c r="O27" i="1"/>
  <c r="O34" i="1"/>
  <c r="O31" i="1"/>
  <c r="O47" i="1"/>
  <c r="O68" i="1"/>
  <c r="O95" i="1"/>
  <c r="O119" i="1"/>
  <c r="O101" i="1"/>
  <c r="O171" i="1"/>
  <c r="O139" i="1"/>
  <c r="O128" i="1"/>
  <c r="O92" i="1"/>
  <c r="O187" i="1"/>
  <c r="O203" i="1"/>
  <c r="O219" i="1"/>
  <c r="O22" i="1"/>
  <c r="O14" i="1"/>
  <c r="O80" i="1"/>
  <c r="O93" i="1"/>
  <c r="O112" i="1"/>
  <c r="O125" i="1"/>
  <c r="O88" i="1"/>
  <c r="O136" i="1"/>
  <c r="O152" i="1"/>
  <c r="O168" i="1"/>
  <c r="O184" i="1"/>
  <c r="O200" i="1"/>
  <c r="O216" i="1"/>
  <c r="I204" i="1"/>
  <c r="I117" i="1"/>
  <c r="I92" i="1"/>
  <c r="I163" i="1"/>
  <c r="I172" i="1"/>
  <c r="I181" i="1"/>
  <c r="I149" i="1"/>
  <c r="I94" i="1"/>
  <c r="I182" i="1"/>
  <c r="I229" i="1"/>
  <c r="I217" i="1"/>
  <c r="O190" i="1"/>
  <c r="O206" i="1"/>
  <c r="O226" i="1"/>
  <c r="O174" i="1"/>
  <c r="O186" i="1"/>
  <c r="O65" i="1"/>
  <c r="O98" i="1"/>
  <c r="O48" i="1"/>
  <c r="O99" i="1"/>
  <c r="O116" i="1"/>
  <c r="O130" i="1"/>
  <c r="O54" i="1"/>
  <c r="O143" i="1"/>
  <c r="O51" i="1"/>
  <c r="O175" i="1"/>
  <c r="O191" i="1"/>
  <c r="O207" i="1"/>
  <c r="O223" i="1"/>
  <c r="O8" i="1"/>
  <c r="O29" i="1"/>
  <c r="O56" i="1"/>
  <c r="O67" i="1"/>
  <c r="O90" i="1"/>
  <c r="O117" i="1"/>
  <c r="O126" i="1"/>
  <c r="O81" i="1"/>
  <c r="O140" i="1"/>
  <c r="O156" i="1"/>
  <c r="O172" i="1"/>
  <c r="O188" i="1"/>
  <c r="O204" i="1"/>
  <c r="O220" i="1"/>
  <c r="I144" i="1"/>
  <c r="I67" i="1"/>
  <c r="I220" i="1"/>
  <c r="I140" i="1"/>
  <c r="I156" i="1"/>
  <c r="I101" i="1"/>
  <c r="I132" i="1"/>
  <c r="I179" i="1"/>
  <c r="I26" i="1"/>
  <c r="I82" i="1"/>
  <c r="I209" i="1"/>
  <c r="I120" i="1"/>
  <c r="I11" i="1"/>
  <c r="I23" i="1"/>
  <c r="O178" i="1"/>
  <c r="O194" i="1"/>
  <c r="O210" i="1"/>
  <c r="O222" i="1"/>
  <c r="I53" i="1"/>
  <c r="I174" i="1"/>
  <c r="I222" i="1"/>
  <c r="I190" i="1"/>
  <c r="O24" i="1"/>
  <c r="O33" i="1"/>
  <c r="O61" i="1"/>
  <c r="O46" i="1"/>
  <c r="O115" i="1"/>
  <c r="O96" i="1"/>
  <c r="O123" i="1"/>
  <c r="O131" i="1"/>
  <c r="O159" i="1"/>
  <c r="O137" i="1"/>
  <c r="O145" i="1"/>
  <c r="O153" i="1"/>
  <c r="O169" i="1"/>
  <c r="O185" i="1"/>
  <c r="O201" i="1"/>
  <c r="O217" i="1"/>
  <c r="O52" i="1"/>
  <c r="O66" i="1"/>
  <c r="O110" i="1"/>
  <c r="O43" i="1"/>
  <c r="O16" i="1"/>
  <c r="O10" i="1"/>
  <c r="O91" i="1"/>
  <c r="O49" i="1"/>
  <c r="O20" i="1"/>
  <c r="O45" i="1"/>
  <c r="O63" i="1"/>
  <c r="O32" i="1"/>
  <c r="O108" i="1"/>
  <c r="O132" i="1"/>
  <c r="O72" i="1"/>
  <c r="O180" i="1"/>
  <c r="O147" i="1"/>
  <c r="O163" i="1"/>
  <c r="O179" i="1"/>
  <c r="O195" i="1"/>
  <c r="O211" i="1"/>
  <c r="O227" i="1"/>
  <c r="O12" i="1"/>
  <c r="O86" i="1"/>
  <c r="O30" i="1"/>
  <c r="O83" i="1"/>
  <c r="O100" i="1"/>
  <c r="O102" i="1"/>
  <c r="O71" i="1"/>
  <c r="O144" i="1"/>
  <c r="O160" i="1"/>
  <c r="O176" i="1"/>
  <c r="O192" i="1"/>
  <c r="O208" i="1"/>
  <c r="O224" i="1"/>
  <c r="I86" i="1"/>
  <c r="I102" i="1"/>
  <c r="I81" i="1"/>
  <c r="I171" i="1"/>
  <c r="I27" i="1"/>
  <c r="I126" i="1"/>
  <c r="I28" i="1"/>
  <c r="I152" i="1"/>
  <c r="I168" i="1"/>
  <c r="I216" i="1"/>
  <c r="I232" i="1"/>
  <c r="O162" i="1"/>
  <c r="I160" i="1"/>
  <c r="I197" i="1"/>
  <c r="I88" i="1"/>
  <c r="I136" i="1"/>
  <c r="I184" i="1"/>
  <c r="I200" i="1"/>
  <c r="I50" i="1"/>
  <c r="I142" i="1"/>
  <c r="I52" i="1"/>
  <c r="I99" i="1"/>
  <c r="I105" i="1"/>
  <c r="I10" i="1"/>
  <c r="I16" i="1"/>
  <c r="I191" i="1"/>
  <c r="I97" i="1"/>
  <c r="I169" i="1"/>
  <c r="I69" i="1"/>
  <c r="I75" i="1"/>
  <c r="I61" i="1"/>
  <c r="I41" i="1"/>
  <c r="I21" i="1"/>
  <c r="I39" i="1"/>
  <c r="I45" i="1"/>
  <c r="I63" i="1"/>
  <c r="I48" i="1"/>
  <c r="I116" i="1"/>
  <c r="I55" i="1"/>
  <c r="I130" i="1"/>
  <c r="I133" i="1"/>
  <c r="I51" i="1"/>
  <c r="I167" i="1"/>
  <c r="I183" i="1"/>
  <c r="I215" i="1"/>
  <c r="I114" i="1"/>
  <c r="I186" i="1"/>
  <c r="I206" i="1"/>
  <c r="I78" i="1"/>
  <c r="I129" i="1"/>
  <c r="I19" i="1"/>
  <c r="I62" i="1"/>
  <c r="I107" i="1"/>
  <c r="I83" i="1"/>
  <c r="I199" i="1"/>
  <c r="I5" i="1"/>
  <c r="I207" i="1"/>
  <c r="I79" i="1"/>
  <c r="I203" i="1"/>
  <c r="I141" i="1"/>
  <c r="I73" i="1"/>
  <c r="I49" i="1"/>
  <c r="I15" i="1"/>
  <c r="I42" i="1"/>
  <c r="I24" i="1"/>
  <c r="I104" i="1"/>
  <c r="I202" i="1"/>
  <c r="I148" i="1"/>
  <c r="I164" i="1"/>
  <c r="I121" i="1"/>
  <c r="I196" i="1"/>
  <c r="I212" i="1"/>
  <c r="I228" i="1"/>
  <c r="I154" i="1"/>
  <c r="I122" i="1"/>
  <c r="I76" i="1"/>
  <c r="I103" i="1"/>
  <c r="I218" i="1"/>
  <c r="I36" i="1"/>
  <c r="I66" i="1"/>
  <c r="I109" i="1"/>
  <c r="I110" i="1"/>
  <c r="I70" i="1"/>
  <c r="I77" i="1"/>
  <c r="I64" i="1"/>
  <c r="I158" i="1"/>
  <c r="I210" i="1"/>
  <c r="I138" i="1"/>
  <c r="I60" i="1"/>
  <c r="I230" i="1"/>
  <c r="I170" i="1"/>
  <c r="I178" i="1"/>
  <c r="I226" i="1"/>
  <c r="I12" i="1"/>
  <c r="I100" i="1"/>
  <c r="I208" i="1"/>
  <c r="I231" i="1"/>
  <c r="I219" i="1"/>
  <c r="I47" i="1"/>
  <c r="I20" i="1"/>
  <c r="I157" i="1"/>
  <c r="I115" i="1"/>
  <c r="I85" i="1"/>
  <c r="I151" i="1"/>
  <c r="I37" i="1"/>
  <c r="I44" i="1"/>
  <c r="I113" i="1"/>
  <c r="I96" i="1"/>
  <c r="I123" i="1"/>
  <c r="I32" i="1"/>
  <c r="I95" i="1"/>
  <c r="I108" i="1"/>
  <c r="I119" i="1"/>
  <c r="I72" i="1"/>
  <c r="I180" i="1"/>
  <c r="I139" i="1"/>
  <c r="I128" i="1"/>
  <c r="I195" i="1"/>
  <c r="I211" i="1"/>
  <c r="I227" i="1"/>
  <c r="I125" i="1"/>
  <c r="AB233" i="1"/>
  <c r="AF233" i="1" l="1"/>
  <c r="AA115" i="1"/>
  <c r="AA159" i="1"/>
  <c r="AA107" i="1"/>
  <c r="AA71" i="1"/>
  <c r="AA90" i="1"/>
  <c r="AA95" i="1"/>
  <c r="AA82" i="1"/>
  <c r="AA112" i="1"/>
  <c r="AA61" i="1"/>
  <c r="AA53" i="1"/>
  <c r="AA98" i="1"/>
  <c r="AA54" i="1"/>
  <c r="U82" i="1" l="1"/>
  <c r="U107" i="1"/>
  <c r="U54" i="1"/>
  <c r="U53" i="1"/>
  <c r="U95" i="1"/>
  <c r="U90" i="1"/>
  <c r="U115" i="1"/>
  <c r="U98" i="1"/>
  <c r="U61" i="1"/>
  <c r="U112" i="1"/>
  <c r="U71" i="1"/>
  <c r="U159" i="1"/>
  <c r="AX98" i="1"/>
  <c r="AX159" i="1"/>
  <c r="AX82" i="1"/>
  <c r="AY82" i="1" s="1"/>
  <c r="AX107" i="1"/>
  <c r="AY107" i="1" s="1"/>
  <c r="AX115" i="1"/>
  <c r="AY115" i="1" s="1"/>
  <c r="AX61" i="1"/>
  <c r="AX112" i="1"/>
  <c r="AY112" i="1" s="1"/>
  <c r="AX71" i="1"/>
  <c r="AX54" i="1"/>
  <c r="AY54" i="1" s="1"/>
  <c r="AX53" i="1"/>
  <c r="AX95" i="1"/>
  <c r="AY95" i="1" s="1"/>
  <c r="AX90" i="1"/>
  <c r="AY90" i="1" s="1"/>
  <c r="P233" i="1"/>
  <c r="J233" i="1"/>
  <c r="V233" i="1"/>
  <c r="D233" i="1"/>
  <c r="AY71" i="1" l="1"/>
  <c r="AY61" i="1"/>
  <c r="AY53" i="1"/>
  <c r="AY159" i="1"/>
  <c r="AY98" i="1"/>
  <c r="U139" i="1"/>
  <c r="AA139" i="1"/>
  <c r="U144" i="1"/>
  <c r="AA144" i="1"/>
  <c r="U191" i="1"/>
  <c r="AA191" i="1"/>
  <c r="U126" i="1"/>
  <c r="AA126" i="1"/>
  <c r="U141" i="1"/>
  <c r="AA141" i="1"/>
  <c r="U55" i="1"/>
  <c r="AA55" i="1"/>
  <c r="U149" i="1"/>
  <c r="AA149" i="1"/>
  <c r="AT233" i="1"/>
  <c r="AA64" i="1"/>
  <c r="AA94" i="1"/>
  <c r="AX152" i="1"/>
  <c r="AY152" i="1" s="1"/>
  <c r="AA48" i="1"/>
  <c r="AX18" i="1"/>
  <c r="AA162" i="1"/>
  <c r="AA50" i="1"/>
  <c r="AA25" i="1"/>
  <c r="AX138" i="1"/>
  <c r="AY138" i="1" s="1"/>
  <c r="AA134" i="1"/>
  <c r="AA145" i="1"/>
  <c r="AA136" i="1"/>
  <c r="AA41" i="1"/>
  <c r="AA34" i="1"/>
  <c r="AA51" i="1"/>
  <c r="AA6" i="1"/>
  <c r="AA146" i="1"/>
  <c r="AA151" i="1"/>
  <c r="AA154" i="1"/>
  <c r="AA106" i="1"/>
  <c r="AA36" i="1"/>
  <c r="AA113" i="1"/>
  <c r="AA128" i="1"/>
  <c r="AA11" i="1"/>
  <c r="AA89" i="1"/>
  <c r="AA119" i="1"/>
  <c r="AA23" i="1"/>
  <c r="AA172" i="1"/>
  <c r="AA121" i="1"/>
  <c r="AA58" i="1"/>
  <c r="AA26" i="1"/>
  <c r="AA153" i="1"/>
  <c r="AA73" i="1"/>
  <c r="AA160" i="1"/>
  <c r="AA85" i="1"/>
  <c r="AA19" i="1"/>
  <c r="AA30" i="1"/>
  <c r="AA142" i="1"/>
  <c r="AA101" i="1"/>
  <c r="AA20" i="1"/>
  <c r="AA114" i="1"/>
  <c r="AA173" i="1"/>
  <c r="AA180" i="1"/>
  <c r="AA164" i="1"/>
  <c r="AA92" i="1"/>
  <c r="AA178" i="1"/>
  <c r="AA186" i="1"/>
  <c r="AA218" i="1"/>
  <c r="AA110" i="1"/>
  <c r="AA28" i="1"/>
  <c r="AA87" i="1"/>
  <c r="AA65" i="1"/>
  <c r="AA166" i="1"/>
  <c r="AA171" i="1"/>
  <c r="AA47" i="1"/>
  <c r="AA99" i="1"/>
  <c r="AA16" i="1"/>
  <c r="AA207" i="1"/>
  <c r="AA213" i="1"/>
  <c r="AA222" i="1"/>
  <c r="AA67" i="1"/>
  <c r="AA209" i="1"/>
  <c r="AA228" i="1"/>
  <c r="AA193" i="1"/>
  <c r="AA201" i="1"/>
  <c r="AA155" i="1"/>
  <c r="AA108" i="1"/>
  <c r="AA168" i="1"/>
  <c r="AA76" i="1"/>
  <c r="AA96" i="1"/>
  <c r="AA198" i="1"/>
  <c r="AA206" i="1"/>
  <c r="AA212" i="1"/>
  <c r="AA221" i="1"/>
  <c r="AA229" i="1"/>
  <c r="AA10" i="1"/>
  <c r="AA176" i="1"/>
  <c r="AA102" i="1"/>
  <c r="AA83" i="1"/>
  <c r="AA182" i="1"/>
  <c r="AA215" i="1"/>
  <c r="AA78" i="1"/>
  <c r="AA231" i="1"/>
  <c r="AA72" i="1"/>
  <c r="AA210" i="1"/>
  <c r="AA116" i="1"/>
  <c r="AA199" i="1"/>
  <c r="AA214" i="1"/>
  <c r="AA223" i="1"/>
  <c r="AA230" i="1"/>
  <c r="AA129" i="1"/>
  <c r="AA177" i="1"/>
  <c r="AA187" i="1"/>
  <c r="AA52" i="1"/>
  <c r="AA37" i="1"/>
  <c r="AA66" i="1"/>
  <c r="AA35" i="1"/>
  <c r="AA194" i="1"/>
  <c r="AA103" i="1"/>
  <c r="AA22" i="1"/>
  <c r="AA217" i="1"/>
  <c r="AA118" i="1"/>
  <c r="AA225" i="1"/>
  <c r="AA165" i="1"/>
  <c r="AA188" i="1"/>
  <c r="AA196" i="1"/>
  <c r="AA62" i="1"/>
  <c r="AA211" i="1"/>
  <c r="AA219" i="1"/>
  <c r="AA97" i="1"/>
  <c r="AA204" i="1"/>
  <c r="AM3" i="1"/>
  <c r="AA192" i="1"/>
  <c r="AA203" i="1"/>
  <c r="AA111" i="1"/>
  <c r="AA59" i="1"/>
  <c r="AA137" i="1"/>
  <c r="AA74" i="1"/>
  <c r="AA117" i="1"/>
  <c r="AA57" i="1"/>
  <c r="AA185" i="1"/>
  <c r="AA9" i="1"/>
  <c r="AA13" i="1"/>
  <c r="AA32" i="1"/>
  <c r="AA232" i="1"/>
  <c r="AA135" i="1"/>
  <c r="AA93" i="1"/>
  <c r="AA68" i="1"/>
  <c r="AA132" i="1"/>
  <c r="AA150" i="1"/>
  <c r="AA125" i="1"/>
  <c r="AA29" i="1"/>
  <c r="AA15" i="1"/>
  <c r="AA46" i="1"/>
  <c r="AA170" i="1"/>
  <c r="AA167" i="1"/>
  <c r="AA174" i="1"/>
  <c r="AA181" i="1"/>
  <c r="AA190" i="1"/>
  <c r="AA195" i="1"/>
  <c r="AA105" i="1"/>
  <c r="AA120" i="1"/>
  <c r="AA91" i="1"/>
  <c r="AA226" i="1"/>
  <c r="AA179" i="1"/>
  <c r="AA169" i="1"/>
  <c r="AA33" i="1"/>
  <c r="AA109" i="1"/>
  <c r="AA200" i="1"/>
  <c r="AA42" i="1"/>
  <c r="AA14" i="1"/>
  <c r="AA216" i="1"/>
  <c r="AA21" i="1"/>
  <c r="AA81" i="1"/>
  <c r="AA205" i="1"/>
  <c r="AA220" i="1"/>
  <c r="AA56" i="1"/>
  <c r="AA77" i="1"/>
  <c r="AA38" i="1"/>
  <c r="AA43" i="1"/>
  <c r="AA161" i="1"/>
  <c r="AA183" i="1"/>
  <c r="AA17" i="1"/>
  <c r="AA202" i="1"/>
  <c r="AA75" i="1"/>
  <c r="AA45" i="1"/>
  <c r="AA104" i="1"/>
  <c r="AA100" i="1"/>
  <c r="AA208" i="1"/>
  <c r="AA140" i="1"/>
  <c r="AA148" i="1"/>
  <c r="AM12" i="1"/>
  <c r="AA88" i="1"/>
  <c r="AA8" i="1"/>
  <c r="AA69" i="1"/>
  <c r="AA122" i="1"/>
  <c r="AA86" i="1"/>
  <c r="AA124" i="1"/>
  <c r="AA31" i="1"/>
  <c r="AA79" i="1"/>
  <c r="AA184" i="1"/>
  <c r="AA197" i="1"/>
  <c r="AA133" i="1"/>
  <c r="AA131" i="1"/>
  <c r="AA80" i="1"/>
  <c r="AA227" i="1"/>
  <c r="AA175" i="1"/>
  <c r="AA60" i="1"/>
  <c r="AA40" i="1"/>
  <c r="AA49" i="1"/>
  <c r="AA224" i="1"/>
  <c r="AA127" i="1"/>
  <c r="AA44" i="1"/>
  <c r="AA189" i="1"/>
  <c r="AM7" i="1"/>
  <c r="AA39" i="1"/>
  <c r="AA163" i="1"/>
  <c r="AA70" i="1"/>
  <c r="AA84" i="1"/>
  <c r="AA143" i="1"/>
  <c r="AA158" i="1"/>
  <c r="AX141" i="1"/>
  <c r="AY141" i="1" s="1"/>
  <c r="Z233" i="1"/>
  <c r="T233" i="1"/>
  <c r="N233" i="1"/>
  <c r="H233" i="1"/>
  <c r="AX191" i="1"/>
  <c r="AY191" i="1" s="1"/>
  <c r="AX55" i="1"/>
  <c r="AY55" i="1" s="1"/>
  <c r="AX126" i="1"/>
  <c r="AX139" i="1"/>
  <c r="AY139" i="1" s="1"/>
  <c r="AX63" i="1"/>
  <c r="AX123" i="1"/>
  <c r="AX144" i="1"/>
  <c r="AY144" i="1" s="1"/>
  <c r="AX149" i="1"/>
  <c r="AY149" i="1" s="1"/>
  <c r="B2" i="3"/>
  <c r="F2" i="3"/>
  <c r="C2" i="3"/>
  <c r="G2" i="3"/>
  <c r="D2" i="3"/>
  <c r="E2" i="3"/>
  <c r="AY126" i="1" l="1"/>
  <c r="AA5" i="1"/>
  <c r="AM5" i="1"/>
  <c r="U12" i="1"/>
  <c r="AA12" i="1"/>
  <c r="U3" i="1"/>
  <c r="AA3" i="1"/>
  <c r="U130" i="1"/>
  <c r="AA130" i="1"/>
  <c r="U24" i="1"/>
  <c r="AA24" i="1"/>
  <c r="U156" i="1"/>
  <c r="AA156" i="1"/>
  <c r="U18" i="1"/>
  <c r="AA18" i="1"/>
  <c r="U157" i="1"/>
  <c r="AA157" i="1"/>
  <c r="AX24" i="1"/>
  <c r="U123" i="1"/>
  <c r="AA123" i="1"/>
  <c r="U138" i="1"/>
  <c r="AA138" i="1"/>
  <c r="U147" i="1"/>
  <c r="AA147" i="1"/>
  <c r="U152" i="1"/>
  <c r="AA152" i="1"/>
  <c r="U7" i="1"/>
  <c r="AA7" i="1"/>
  <c r="U63" i="1"/>
  <c r="AA63" i="1"/>
  <c r="AX157" i="1"/>
  <c r="AY157" i="1" s="1"/>
  <c r="U4" i="1"/>
  <c r="AA4" i="1"/>
  <c r="U27" i="1"/>
  <c r="AA27" i="1"/>
  <c r="AX156" i="1"/>
  <c r="AY156" i="1" s="1"/>
  <c r="AX130" i="1"/>
  <c r="U84" i="1"/>
  <c r="U175" i="1"/>
  <c r="U31" i="1"/>
  <c r="U86" i="1"/>
  <c r="U140" i="1"/>
  <c r="U45" i="1"/>
  <c r="U38" i="1"/>
  <c r="U33" i="1"/>
  <c r="U91" i="1"/>
  <c r="U46" i="1"/>
  <c r="U203" i="1"/>
  <c r="U70" i="1"/>
  <c r="U189" i="1"/>
  <c r="U49" i="1"/>
  <c r="U227" i="1"/>
  <c r="U197" i="1"/>
  <c r="U122" i="1"/>
  <c r="U88" i="1"/>
  <c r="U208" i="1"/>
  <c r="U75" i="1"/>
  <c r="U77" i="1"/>
  <c r="U81" i="1"/>
  <c r="U42" i="1"/>
  <c r="U169" i="1"/>
  <c r="U120" i="1"/>
  <c r="U181" i="1"/>
  <c r="U15" i="1"/>
  <c r="U132" i="1"/>
  <c r="U13" i="1"/>
  <c r="U192" i="1"/>
  <c r="U219" i="1"/>
  <c r="U188" i="1"/>
  <c r="U217" i="1"/>
  <c r="U35" i="1"/>
  <c r="U187" i="1"/>
  <c r="U223" i="1"/>
  <c r="U116" i="1"/>
  <c r="U231" i="1"/>
  <c r="U83" i="1"/>
  <c r="U229" i="1"/>
  <c r="U198" i="1"/>
  <c r="U108" i="1"/>
  <c r="U222" i="1"/>
  <c r="U99" i="1"/>
  <c r="U65" i="1"/>
  <c r="U218" i="1"/>
  <c r="U164" i="1"/>
  <c r="U20" i="1"/>
  <c r="U160" i="1"/>
  <c r="U11" i="1"/>
  <c r="U106" i="1"/>
  <c r="U34" i="1"/>
  <c r="U145" i="1"/>
  <c r="U25" i="1"/>
  <c r="U162" i="1"/>
  <c r="U48" i="1"/>
  <c r="U64" i="1"/>
  <c r="U133" i="1"/>
  <c r="U205" i="1"/>
  <c r="U170" i="1"/>
  <c r="U57" i="1"/>
  <c r="U97" i="1"/>
  <c r="U194" i="1"/>
  <c r="U230" i="1"/>
  <c r="U72" i="1"/>
  <c r="U10" i="1"/>
  <c r="U193" i="1"/>
  <c r="U16" i="1"/>
  <c r="U110" i="1"/>
  <c r="U114" i="1"/>
  <c r="U85" i="1"/>
  <c r="U119" i="1"/>
  <c r="U51" i="1"/>
  <c r="U50" i="1"/>
  <c r="U94" i="1"/>
  <c r="U163" i="1"/>
  <c r="U44" i="1"/>
  <c r="U40" i="1"/>
  <c r="U80" i="1"/>
  <c r="U184" i="1"/>
  <c r="U124" i="1"/>
  <c r="U69" i="1"/>
  <c r="U100" i="1"/>
  <c r="U202" i="1"/>
  <c r="U183" i="1"/>
  <c r="U56" i="1"/>
  <c r="U21" i="1"/>
  <c r="U200" i="1"/>
  <c r="U179" i="1"/>
  <c r="U105" i="1"/>
  <c r="U174" i="1"/>
  <c r="U29" i="1"/>
  <c r="U68" i="1"/>
  <c r="U9" i="1"/>
  <c r="U117" i="1"/>
  <c r="U59" i="1"/>
  <c r="U211" i="1"/>
  <c r="U165" i="1"/>
  <c r="U22" i="1"/>
  <c r="U66" i="1"/>
  <c r="U177" i="1"/>
  <c r="U214" i="1"/>
  <c r="U78" i="1"/>
  <c r="U102" i="1"/>
  <c r="U221" i="1"/>
  <c r="U96" i="1"/>
  <c r="U155" i="1"/>
  <c r="U228" i="1"/>
  <c r="U213" i="1"/>
  <c r="U47" i="1"/>
  <c r="U87" i="1"/>
  <c r="U186" i="1"/>
  <c r="U180" i="1"/>
  <c r="U101" i="1"/>
  <c r="U142" i="1"/>
  <c r="U30" i="1"/>
  <c r="U73" i="1"/>
  <c r="U121" i="1"/>
  <c r="U128" i="1"/>
  <c r="U154" i="1"/>
  <c r="U151" i="1"/>
  <c r="U41" i="1"/>
  <c r="U224" i="1"/>
  <c r="U43" i="1"/>
  <c r="U14" i="1"/>
  <c r="U190" i="1"/>
  <c r="U150" i="1"/>
  <c r="U135" i="1"/>
  <c r="U32" i="1"/>
  <c r="U137" i="1"/>
  <c r="U196" i="1"/>
  <c r="U118" i="1"/>
  <c r="U52" i="1"/>
  <c r="U5" i="1"/>
  <c r="U182" i="1"/>
  <c r="U206" i="1"/>
  <c r="U168" i="1"/>
  <c r="U67" i="1"/>
  <c r="U166" i="1"/>
  <c r="U92" i="1"/>
  <c r="U26" i="1"/>
  <c r="U23" i="1"/>
  <c r="U36" i="1"/>
  <c r="U6" i="1"/>
  <c r="U134" i="1"/>
  <c r="U158" i="1"/>
  <c r="U143" i="1"/>
  <c r="U39" i="1"/>
  <c r="U127" i="1"/>
  <c r="U60" i="1"/>
  <c r="U131" i="1"/>
  <c r="U79" i="1"/>
  <c r="U8" i="1"/>
  <c r="U148" i="1"/>
  <c r="U104" i="1"/>
  <c r="U17" i="1"/>
  <c r="U161" i="1"/>
  <c r="U220" i="1"/>
  <c r="U216" i="1"/>
  <c r="U109" i="1"/>
  <c r="U226" i="1"/>
  <c r="U195" i="1"/>
  <c r="U167" i="1"/>
  <c r="U125" i="1"/>
  <c r="U93" i="1"/>
  <c r="U232" i="1"/>
  <c r="U185" i="1"/>
  <c r="U74" i="1"/>
  <c r="U111" i="1"/>
  <c r="U204" i="1"/>
  <c r="U62" i="1"/>
  <c r="U225" i="1"/>
  <c r="U103" i="1"/>
  <c r="U37" i="1"/>
  <c r="U129" i="1"/>
  <c r="U199" i="1"/>
  <c r="U210" i="1"/>
  <c r="U215" i="1"/>
  <c r="U176" i="1"/>
  <c r="U212" i="1"/>
  <c r="U76" i="1"/>
  <c r="U201" i="1"/>
  <c r="U209" i="1"/>
  <c r="U207" i="1"/>
  <c r="U171" i="1"/>
  <c r="U28" i="1"/>
  <c r="U178" i="1"/>
  <c r="U173" i="1"/>
  <c r="U19" i="1"/>
  <c r="U153" i="1"/>
  <c r="U58" i="1"/>
  <c r="U172" i="1"/>
  <c r="U89" i="1"/>
  <c r="U113" i="1"/>
  <c r="U146" i="1"/>
  <c r="U136" i="1"/>
  <c r="AX147" i="1"/>
  <c r="AY147" i="1" s="1"/>
  <c r="AX49" i="1"/>
  <c r="AY49" i="1" s="1"/>
  <c r="AX122" i="1"/>
  <c r="AY122" i="1" s="1"/>
  <c r="O75" i="1"/>
  <c r="AX77" i="1"/>
  <c r="AY77" i="1" s="1"/>
  <c r="AX42" i="1"/>
  <c r="AY42" i="1" s="1"/>
  <c r="AX181" i="1"/>
  <c r="AY181" i="1" s="1"/>
  <c r="AX15" i="1"/>
  <c r="AY15" i="1" s="1"/>
  <c r="I13" i="1"/>
  <c r="AX192" i="1"/>
  <c r="AY192" i="1" s="1"/>
  <c r="AX217" i="1"/>
  <c r="AY217" i="1" s="1"/>
  <c r="AX187" i="1"/>
  <c r="AY187" i="1" s="1"/>
  <c r="AX231" i="1"/>
  <c r="AY231" i="1" s="1"/>
  <c r="AX229" i="1"/>
  <c r="AY229" i="1" s="1"/>
  <c r="AX198" i="1"/>
  <c r="AY198" i="1" s="1"/>
  <c r="AX108" i="1"/>
  <c r="AY108" i="1" s="1"/>
  <c r="AX222" i="1"/>
  <c r="AY222" i="1" s="1"/>
  <c r="AX65" i="1"/>
  <c r="AY65" i="1" s="1"/>
  <c r="AX218" i="1"/>
  <c r="AY218" i="1" s="1"/>
  <c r="AX164" i="1"/>
  <c r="AY164" i="1" s="1"/>
  <c r="AX20" i="1"/>
  <c r="AY20" i="1" s="1"/>
  <c r="AX160" i="1"/>
  <c r="AY160" i="1" s="1"/>
  <c r="AX11" i="1"/>
  <c r="AY11" i="1" s="1"/>
  <c r="AX106" i="1"/>
  <c r="AY106" i="1" s="1"/>
  <c r="AX34" i="1"/>
  <c r="AY34" i="1" s="1"/>
  <c r="AX145" i="1"/>
  <c r="AY145" i="1" s="1"/>
  <c r="AX25" i="1"/>
  <c r="AY25" i="1" s="1"/>
  <c r="AX162" i="1"/>
  <c r="AY162" i="1" s="1"/>
  <c r="AX48" i="1"/>
  <c r="AY48" i="1" s="1"/>
  <c r="AX64" i="1"/>
  <c r="AY64" i="1" s="1"/>
  <c r="AX158" i="1"/>
  <c r="AY158" i="1" s="1"/>
  <c r="AX163" i="1"/>
  <c r="AY163" i="1" s="1"/>
  <c r="AX44" i="1"/>
  <c r="AY44" i="1" s="1"/>
  <c r="AX40" i="1"/>
  <c r="AY40" i="1" s="1"/>
  <c r="AX80" i="1"/>
  <c r="AY80" i="1" s="1"/>
  <c r="AX184" i="1"/>
  <c r="AY184" i="1" s="1"/>
  <c r="AX124" i="1"/>
  <c r="AY124" i="1" s="1"/>
  <c r="AX69" i="1"/>
  <c r="AY69" i="1" s="1"/>
  <c r="AX100" i="1"/>
  <c r="AY100" i="1" s="1"/>
  <c r="AX202" i="1"/>
  <c r="AY202" i="1" s="1"/>
  <c r="AX183" i="1"/>
  <c r="AY183" i="1" s="1"/>
  <c r="AX56" i="1"/>
  <c r="AY56" i="1" s="1"/>
  <c r="AX21" i="1"/>
  <c r="AY21" i="1" s="1"/>
  <c r="AX200" i="1"/>
  <c r="AY200" i="1" s="1"/>
  <c r="AX179" i="1"/>
  <c r="AY179" i="1" s="1"/>
  <c r="AX105" i="1"/>
  <c r="AY105" i="1" s="1"/>
  <c r="AX174" i="1"/>
  <c r="AY174" i="1" s="1"/>
  <c r="AX29" i="1"/>
  <c r="AY29" i="1" s="1"/>
  <c r="AX68" i="1"/>
  <c r="AY68" i="1" s="1"/>
  <c r="I9" i="1"/>
  <c r="AX117" i="1"/>
  <c r="AY117" i="1" s="1"/>
  <c r="AX59" i="1"/>
  <c r="AY59" i="1" s="1"/>
  <c r="AX211" i="1"/>
  <c r="AY211" i="1" s="1"/>
  <c r="AX165" i="1"/>
  <c r="AY165" i="1" s="1"/>
  <c r="AX22" i="1"/>
  <c r="AY22" i="1" s="1"/>
  <c r="AX66" i="1"/>
  <c r="AY66" i="1" s="1"/>
  <c r="AX177" i="1"/>
  <c r="AY177" i="1" s="1"/>
  <c r="AX214" i="1"/>
  <c r="AY214" i="1" s="1"/>
  <c r="AX78" i="1"/>
  <c r="AY78" i="1" s="1"/>
  <c r="AX102" i="1"/>
  <c r="AY102" i="1" s="1"/>
  <c r="AX221" i="1"/>
  <c r="AY221" i="1" s="1"/>
  <c r="AX96" i="1"/>
  <c r="AY96" i="1" s="1"/>
  <c r="AX155" i="1"/>
  <c r="AY155" i="1" s="1"/>
  <c r="AX228" i="1"/>
  <c r="AY228" i="1" s="1"/>
  <c r="AX213" i="1"/>
  <c r="AY213" i="1" s="1"/>
  <c r="AX47" i="1"/>
  <c r="AY47" i="1" s="1"/>
  <c r="AX87" i="1"/>
  <c r="AY87" i="1" s="1"/>
  <c r="AX186" i="1"/>
  <c r="AY186" i="1" s="1"/>
  <c r="AX180" i="1"/>
  <c r="AY180" i="1" s="1"/>
  <c r="AX101" i="1"/>
  <c r="AY101" i="1" s="1"/>
  <c r="AX142" i="1"/>
  <c r="AY142" i="1" s="1"/>
  <c r="AX30" i="1"/>
  <c r="AY30" i="1" s="1"/>
  <c r="AX73" i="1"/>
  <c r="AY73" i="1" s="1"/>
  <c r="AX121" i="1"/>
  <c r="AY121" i="1" s="1"/>
  <c r="AX128" i="1"/>
  <c r="AY128" i="1" s="1"/>
  <c r="AX154" i="1"/>
  <c r="AY154" i="1" s="1"/>
  <c r="AX151" i="1"/>
  <c r="AY151" i="1" s="1"/>
  <c r="AX41" i="1"/>
  <c r="AY41" i="1" s="1"/>
  <c r="O70" i="1"/>
  <c r="AX227" i="1"/>
  <c r="AY227" i="1" s="1"/>
  <c r="AX169" i="1"/>
  <c r="AY169" i="1" s="1"/>
  <c r="AX132" i="1"/>
  <c r="AY132" i="1" s="1"/>
  <c r="AX188" i="1"/>
  <c r="AY188" i="1" s="1"/>
  <c r="AX223" i="1"/>
  <c r="AY223" i="1" s="1"/>
  <c r="AX83" i="1"/>
  <c r="AY83" i="1" s="1"/>
  <c r="AX99" i="1"/>
  <c r="AY99" i="1" s="1"/>
  <c r="AX143" i="1"/>
  <c r="AY143" i="1" s="1"/>
  <c r="AX39" i="1"/>
  <c r="AY39" i="1" s="1"/>
  <c r="AX127" i="1"/>
  <c r="AY127" i="1" s="1"/>
  <c r="AX60" i="1"/>
  <c r="AY60" i="1" s="1"/>
  <c r="AX131" i="1"/>
  <c r="AY131" i="1" s="1"/>
  <c r="AX79" i="1"/>
  <c r="AY79" i="1" s="1"/>
  <c r="AX8" i="1"/>
  <c r="AY8" i="1" s="1"/>
  <c r="AX148" i="1"/>
  <c r="AY148" i="1" s="1"/>
  <c r="AX104" i="1"/>
  <c r="AY104" i="1" s="1"/>
  <c r="AX17" i="1"/>
  <c r="AY17" i="1" s="1"/>
  <c r="AX161" i="1"/>
  <c r="AY161" i="1" s="1"/>
  <c r="AX220" i="1"/>
  <c r="AY220" i="1" s="1"/>
  <c r="AX216" i="1"/>
  <c r="AY216" i="1" s="1"/>
  <c r="AX109" i="1"/>
  <c r="AY109" i="1" s="1"/>
  <c r="AX226" i="1"/>
  <c r="AY226" i="1" s="1"/>
  <c r="AX195" i="1"/>
  <c r="AY195" i="1" s="1"/>
  <c r="AX167" i="1"/>
  <c r="AY167" i="1" s="1"/>
  <c r="AX125" i="1"/>
  <c r="AY125" i="1" s="1"/>
  <c r="AX93" i="1"/>
  <c r="AY93" i="1" s="1"/>
  <c r="AX232" i="1"/>
  <c r="AY232" i="1" s="1"/>
  <c r="AX185" i="1"/>
  <c r="AY185" i="1" s="1"/>
  <c r="AX74" i="1"/>
  <c r="AY74" i="1" s="1"/>
  <c r="AX111" i="1"/>
  <c r="AY111" i="1" s="1"/>
  <c r="AX204" i="1"/>
  <c r="AY204" i="1" s="1"/>
  <c r="AX62" i="1"/>
  <c r="AY62" i="1" s="1"/>
  <c r="AX225" i="1"/>
  <c r="AY225" i="1" s="1"/>
  <c r="AX103" i="1"/>
  <c r="AY103" i="1" s="1"/>
  <c r="AX37" i="1"/>
  <c r="AY37" i="1" s="1"/>
  <c r="AX129" i="1"/>
  <c r="AY129" i="1" s="1"/>
  <c r="O199" i="1"/>
  <c r="AX210" i="1"/>
  <c r="AY210" i="1" s="1"/>
  <c r="AX215" i="1"/>
  <c r="AY215" i="1" s="1"/>
  <c r="AX176" i="1"/>
  <c r="AY176" i="1" s="1"/>
  <c r="AX212" i="1"/>
  <c r="AY212" i="1" s="1"/>
  <c r="AX76" i="1"/>
  <c r="AY76" i="1" s="1"/>
  <c r="AX201" i="1"/>
  <c r="AY201" i="1" s="1"/>
  <c r="AX209" i="1"/>
  <c r="AY209" i="1" s="1"/>
  <c r="AX207" i="1"/>
  <c r="AY207" i="1" s="1"/>
  <c r="AX171" i="1"/>
  <c r="AY171" i="1" s="1"/>
  <c r="AX28" i="1"/>
  <c r="AY28" i="1" s="1"/>
  <c r="AX178" i="1"/>
  <c r="AY178" i="1" s="1"/>
  <c r="AX173" i="1"/>
  <c r="AY173" i="1" s="1"/>
  <c r="AX19" i="1"/>
  <c r="AY19" i="1" s="1"/>
  <c r="AX153" i="1"/>
  <c r="AY153" i="1" s="1"/>
  <c r="AX58" i="1"/>
  <c r="AY58" i="1" s="1"/>
  <c r="AX172" i="1"/>
  <c r="AY172" i="1" s="1"/>
  <c r="AX89" i="1"/>
  <c r="AY89" i="1" s="1"/>
  <c r="AX113" i="1"/>
  <c r="AY113" i="1" s="1"/>
  <c r="AX146" i="1"/>
  <c r="AY146" i="1" s="1"/>
  <c r="AX136" i="1"/>
  <c r="AY136" i="1" s="1"/>
  <c r="AX189" i="1"/>
  <c r="AY189" i="1" s="1"/>
  <c r="AX197" i="1"/>
  <c r="AY197" i="1" s="1"/>
  <c r="AX88" i="1"/>
  <c r="AY88" i="1" s="1"/>
  <c r="AX208" i="1"/>
  <c r="AY208" i="1" s="1"/>
  <c r="AX81" i="1"/>
  <c r="AY81" i="1" s="1"/>
  <c r="AX120" i="1"/>
  <c r="AY120" i="1" s="1"/>
  <c r="AX219" i="1"/>
  <c r="AY219" i="1" s="1"/>
  <c r="AX35" i="1"/>
  <c r="AY35" i="1" s="1"/>
  <c r="AX116" i="1"/>
  <c r="AY116" i="1" s="1"/>
  <c r="AX84" i="1"/>
  <c r="AY84" i="1" s="1"/>
  <c r="AX224" i="1"/>
  <c r="AY224" i="1" s="1"/>
  <c r="AX175" i="1"/>
  <c r="AY175" i="1" s="1"/>
  <c r="AX133" i="1"/>
  <c r="AY133" i="1" s="1"/>
  <c r="AX31" i="1"/>
  <c r="AY31" i="1" s="1"/>
  <c r="AX86" i="1"/>
  <c r="AY86" i="1" s="1"/>
  <c r="AX140" i="1"/>
  <c r="AY140" i="1" s="1"/>
  <c r="AX45" i="1"/>
  <c r="AY45" i="1" s="1"/>
  <c r="I43" i="1"/>
  <c r="AX38" i="1"/>
  <c r="AY38" i="1" s="1"/>
  <c r="AX205" i="1"/>
  <c r="AY205" i="1" s="1"/>
  <c r="AX14" i="1"/>
  <c r="AY14" i="1" s="1"/>
  <c r="AX33" i="1"/>
  <c r="AY33" i="1" s="1"/>
  <c r="AX91" i="1"/>
  <c r="AY91" i="1" s="1"/>
  <c r="AX190" i="1"/>
  <c r="AY190" i="1" s="1"/>
  <c r="AX170" i="1"/>
  <c r="AY170" i="1" s="1"/>
  <c r="AX46" i="1"/>
  <c r="AY46" i="1" s="1"/>
  <c r="AX150" i="1"/>
  <c r="AY150" i="1" s="1"/>
  <c r="AX135" i="1"/>
  <c r="AY135" i="1" s="1"/>
  <c r="AX32" i="1"/>
  <c r="AY32" i="1" s="1"/>
  <c r="AX57" i="1"/>
  <c r="AY57" i="1" s="1"/>
  <c r="AX137" i="1"/>
  <c r="AY137" i="1" s="1"/>
  <c r="AX203" i="1"/>
  <c r="AY203" i="1" s="1"/>
  <c r="AX97" i="1"/>
  <c r="AY97" i="1" s="1"/>
  <c r="AX196" i="1"/>
  <c r="AY196" i="1" s="1"/>
  <c r="AX118" i="1"/>
  <c r="AY118" i="1" s="1"/>
  <c r="AX194" i="1"/>
  <c r="AY194" i="1" s="1"/>
  <c r="AX52" i="1"/>
  <c r="AY52" i="1" s="1"/>
  <c r="AX230" i="1"/>
  <c r="AY230" i="1" s="1"/>
  <c r="AX5" i="1"/>
  <c r="AY5" i="1" s="1"/>
  <c r="AX72" i="1"/>
  <c r="AY72" i="1" s="1"/>
  <c r="O182" i="1"/>
  <c r="AX10" i="1"/>
  <c r="AY10" i="1" s="1"/>
  <c r="AX206" i="1"/>
  <c r="AY206" i="1" s="1"/>
  <c r="AX168" i="1"/>
  <c r="AY168" i="1" s="1"/>
  <c r="AX193" i="1"/>
  <c r="AY193" i="1" s="1"/>
  <c r="AX67" i="1"/>
  <c r="AY67" i="1" s="1"/>
  <c r="AX16" i="1"/>
  <c r="AY16" i="1" s="1"/>
  <c r="AX166" i="1"/>
  <c r="AY166" i="1" s="1"/>
  <c r="AX110" i="1"/>
  <c r="AY110" i="1" s="1"/>
  <c r="AX92" i="1"/>
  <c r="AY92" i="1" s="1"/>
  <c r="AX114" i="1"/>
  <c r="AY114" i="1" s="1"/>
  <c r="AX85" i="1"/>
  <c r="AY85" i="1" s="1"/>
  <c r="AX26" i="1"/>
  <c r="AY26" i="1" s="1"/>
  <c r="AX23" i="1"/>
  <c r="AY23" i="1" s="1"/>
  <c r="AX119" i="1"/>
  <c r="AY119" i="1" s="1"/>
  <c r="AX36" i="1"/>
  <c r="AY36" i="1" s="1"/>
  <c r="I6" i="1"/>
  <c r="AX51" i="1"/>
  <c r="AY51" i="1" s="1"/>
  <c r="AX134" i="1"/>
  <c r="AY134" i="1" s="1"/>
  <c r="AX50" i="1"/>
  <c r="AY50" i="1" s="1"/>
  <c r="AX94" i="1"/>
  <c r="AY94" i="1" s="1"/>
  <c r="AX70" i="1"/>
  <c r="AY70" i="1" s="1"/>
  <c r="AX75" i="1"/>
  <c r="AY75" i="1" s="1"/>
  <c r="AX13" i="1"/>
  <c r="AY13" i="1" s="1"/>
  <c r="AX4" i="1"/>
  <c r="AY4" i="1" s="1"/>
  <c r="AX27" i="1"/>
  <c r="AY27" i="1" s="1"/>
  <c r="AX12" i="1"/>
  <c r="AY12" i="1" s="1"/>
  <c r="AX9" i="1"/>
  <c r="AY9" i="1" s="1"/>
  <c r="AX199" i="1"/>
  <c r="AY199" i="1" s="1"/>
  <c r="AX7" i="1"/>
  <c r="AY7" i="1" s="1"/>
  <c r="AX43" i="1"/>
  <c r="AY43" i="1" s="1"/>
  <c r="AX182" i="1"/>
  <c r="AY182" i="1" s="1"/>
  <c r="AX6" i="1"/>
  <c r="AY6" i="1" s="1"/>
  <c r="AX3" i="1"/>
  <c r="AY3" i="1" s="1"/>
  <c r="AW233" i="1"/>
  <c r="AV233" i="1"/>
  <c r="J2" i="3"/>
  <c r="H2" i="3"/>
  <c r="I2" i="3"/>
  <c r="A2" i="3"/>
  <c r="AY130" i="1" l="1"/>
  <c r="AY63" i="1"/>
  <c r="AY123" i="1"/>
  <c r="AY18" i="1"/>
  <c r="AY24" i="1"/>
  <c r="AY2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Reid</author>
  </authors>
  <commentList>
    <comment ref="C2" authorId="0" shapeId="0" xr:uid="{1A038B90-6901-477C-BFB3-A858030B8F13}">
      <text>
        <r>
          <rPr>
            <sz val="9"/>
            <color indexed="81"/>
            <rFont val="Tahoma"/>
            <family val="2"/>
          </rPr>
          <t xml:space="preserve">As of 7/13/21 for most. A few are as of September, 2021.. </t>
        </r>
      </text>
    </comment>
    <comment ref="D2" authorId="0" shapeId="0" xr:uid="{B23D0922-EA57-4E6A-AEB7-7C041D384E6E}">
      <text>
        <r>
          <rPr>
            <sz val="9"/>
            <color indexed="81"/>
            <rFont val="Tahoma"/>
            <family val="2"/>
          </rPr>
          <t xml:space="preserve">The </t>
        </r>
        <r>
          <rPr>
            <u/>
            <sz val="9"/>
            <color indexed="81"/>
            <rFont val="Tahoma"/>
            <family val="2"/>
          </rPr>
          <t>scheduled</t>
        </r>
        <r>
          <rPr>
            <sz val="9"/>
            <color indexed="81"/>
            <rFont val="Tahoma"/>
            <family val="2"/>
          </rPr>
          <t xml:space="preserve"> tee time.  The actual start time may vary and is not shown on this sheet. </t>
        </r>
      </text>
    </comment>
    <comment ref="G2" authorId="0" shapeId="0" xr:uid="{14011C48-FA27-4E70-B6CD-88926CEB2ED7}">
      <text>
        <r>
          <rPr>
            <sz val="9"/>
            <color indexed="81"/>
            <rFont val="Tahoma"/>
            <family val="2"/>
          </rPr>
          <t xml:space="preserve">This is the actual recorded finish time minus the actual recorded start time. Those times are not shown on this sheet though. </t>
        </r>
      </text>
    </comment>
    <comment ref="H2" authorId="0" shapeId="0" xr:uid="{6B59C5A6-A261-4F9C-B70C-51809B132124}">
      <text>
        <r>
          <rPr>
            <sz val="9"/>
            <color indexed="81"/>
            <rFont val="Tahoma"/>
            <family val="2"/>
          </rPr>
          <t xml:space="preserve">This is the difference between the finish time of the group and the finish time of the group immediately in front of it. 
Except when the group in front played faster than the </t>
        </r>
        <r>
          <rPr>
            <i/>
            <sz val="9"/>
            <color indexed="81"/>
            <rFont val="Tahoma"/>
            <family val="2"/>
          </rPr>
          <t xml:space="preserve">standard </t>
        </r>
        <r>
          <rPr>
            <sz val="9"/>
            <color indexed="81"/>
            <rFont val="Tahoma"/>
            <family val="2"/>
          </rPr>
          <t xml:space="preserve">(04:00, as of 10/2/21). Then the gap is adjusted to be MIN(gap, standard gap + round time - standard round time). 
For example, with standard gap 10 minutes and standard round time 4:00, if the first group plays in 3:30 and the following group playes in 4:05 (and both groups started at their assigned times), then the following group's gap would be 35 minutes, but adjusted to 10 + 5 = 15 minutes.  
This calculation could give a large negative number if multiple groups play significantly faster than the standard round time. (Has never happened as of 10/2/21.) </t>
        </r>
      </text>
    </comment>
    <comment ref="J2" authorId="0" shapeId="0" xr:uid="{EB15146A-189D-481C-95D4-F166AB269C48}">
      <text>
        <r>
          <rPr>
            <sz val="9"/>
            <color indexed="81"/>
            <rFont val="Tahoma"/>
            <family val="2"/>
          </rPr>
          <t xml:space="preserve">The </t>
        </r>
        <r>
          <rPr>
            <u/>
            <sz val="9"/>
            <color indexed="81"/>
            <rFont val="Tahoma"/>
            <family val="2"/>
          </rPr>
          <t>scheduled</t>
        </r>
        <r>
          <rPr>
            <sz val="9"/>
            <color indexed="81"/>
            <rFont val="Tahoma"/>
            <family val="2"/>
          </rPr>
          <t xml:space="preserve"> tee time.  The actual start time may vary and is not shown on this sheet. </t>
        </r>
      </text>
    </comment>
    <comment ref="M2" authorId="0" shapeId="0" xr:uid="{ED4E3FBF-0F8E-4B24-AEE6-3980FE6217F6}">
      <text>
        <r>
          <rPr>
            <sz val="9"/>
            <color indexed="81"/>
            <rFont val="Tahoma"/>
            <family val="2"/>
          </rPr>
          <t xml:space="preserve">This is the actual recorded finish time minus the actual recorded start time. Those times are not shown on this sheet though. </t>
        </r>
      </text>
    </comment>
    <comment ref="N2" authorId="0" shapeId="0" xr:uid="{7344E1AC-1964-4E78-A677-A413EEA1BA8B}">
      <text>
        <r>
          <rPr>
            <sz val="9"/>
            <color indexed="81"/>
            <rFont val="Tahoma"/>
            <family val="2"/>
          </rPr>
          <t>This is the difference between the finish time of the group and the finish time of the group immediately in front of it</t>
        </r>
      </text>
    </comment>
    <comment ref="P2" authorId="0" shapeId="0" xr:uid="{C8F24184-3BD7-4C2D-A5BE-7ACA56B8E8B2}">
      <text>
        <r>
          <rPr>
            <sz val="9"/>
            <color indexed="81"/>
            <rFont val="Tahoma"/>
            <family val="2"/>
          </rPr>
          <t xml:space="preserve">The </t>
        </r>
        <r>
          <rPr>
            <u/>
            <sz val="9"/>
            <color indexed="81"/>
            <rFont val="Tahoma"/>
            <family val="2"/>
          </rPr>
          <t>scheduled</t>
        </r>
        <r>
          <rPr>
            <sz val="9"/>
            <color indexed="81"/>
            <rFont val="Tahoma"/>
            <family val="2"/>
          </rPr>
          <t xml:space="preserve"> tee time.  The actual start time may vary and is not shown on this sheet. </t>
        </r>
      </text>
    </comment>
    <comment ref="S2" authorId="0" shapeId="0" xr:uid="{32D6A635-3351-42B2-9B68-1788C8B974FD}">
      <text>
        <r>
          <rPr>
            <sz val="9"/>
            <color indexed="81"/>
            <rFont val="Tahoma"/>
            <family val="2"/>
          </rPr>
          <t xml:space="preserve">This is the actual recorded finish time minus the actual recorded start time. Those times are not shown on this sheet though. </t>
        </r>
      </text>
    </comment>
    <comment ref="T2" authorId="0" shapeId="0" xr:uid="{3CC977C3-2562-48E9-9590-1D7051032EEC}">
      <text>
        <r>
          <rPr>
            <sz val="9"/>
            <color indexed="81"/>
            <rFont val="Tahoma"/>
            <family val="2"/>
          </rPr>
          <t>This is the difference between the finish time of the group and the finish time of the group immediately in front of it</t>
        </r>
      </text>
    </comment>
    <comment ref="V2" authorId="0" shapeId="0" xr:uid="{D4D1EBB5-C5C2-447F-AD35-8E6BAAE10E17}">
      <text>
        <r>
          <rPr>
            <sz val="9"/>
            <color indexed="81"/>
            <rFont val="Tahoma"/>
            <family val="2"/>
          </rPr>
          <t xml:space="preserve">The </t>
        </r>
        <r>
          <rPr>
            <u/>
            <sz val="9"/>
            <color indexed="81"/>
            <rFont val="Tahoma"/>
            <family val="2"/>
          </rPr>
          <t>scheduled</t>
        </r>
        <r>
          <rPr>
            <sz val="9"/>
            <color indexed="81"/>
            <rFont val="Tahoma"/>
            <family val="2"/>
          </rPr>
          <t xml:space="preserve"> tee time.  The actual start time may vary and is not shown on this sheet. </t>
        </r>
      </text>
    </comment>
    <comment ref="Y2" authorId="0" shapeId="0" xr:uid="{76A5795A-DE00-4E74-A5D3-C9D4ADAE1529}">
      <text>
        <r>
          <rPr>
            <sz val="9"/>
            <color indexed="81"/>
            <rFont val="Tahoma"/>
            <family val="2"/>
          </rPr>
          <t xml:space="preserve">This is the actual recorded finish time minus the actual recorded start time. Those times are not shown on this sheet though. </t>
        </r>
      </text>
    </comment>
    <comment ref="Z2" authorId="0" shapeId="0" xr:uid="{4DB40EC3-976B-4FB1-9FCB-6502FB67C89E}">
      <text>
        <r>
          <rPr>
            <sz val="9"/>
            <color indexed="81"/>
            <rFont val="Tahoma"/>
            <family val="2"/>
          </rPr>
          <t>This is the difference between the finish time of the group and the finish time of the group immediately in front of it</t>
        </r>
      </text>
    </comment>
    <comment ref="AB2" authorId="0" shapeId="0" xr:uid="{5519919B-2916-4798-B751-BE7187E086BA}">
      <text>
        <r>
          <rPr>
            <sz val="9"/>
            <color indexed="81"/>
            <rFont val="Tahoma"/>
            <family val="2"/>
          </rPr>
          <t xml:space="preserve">The </t>
        </r>
        <r>
          <rPr>
            <u/>
            <sz val="9"/>
            <color indexed="81"/>
            <rFont val="Tahoma"/>
            <family val="2"/>
          </rPr>
          <t>scheduled</t>
        </r>
        <r>
          <rPr>
            <sz val="9"/>
            <color indexed="81"/>
            <rFont val="Tahoma"/>
            <family val="2"/>
          </rPr>
          <t xml:space="preserve"> tee time.  The actual start time may vary and is not shown on this sheet. </t>
        </r>
      </text>
    </comment>
    <comment ref="AE2" authorId="0" shapeId="0" xr:uid="{27D253F1-87E6-4F8E-AE59-F2CFBC925A13}">
      <text>
        <r>
          <rPr>
            <sz val="9"/>
            <color indexed="81"/>
            <rFont val="Tahoma"/>
            <family val="2"/>
          </rPr>
          <t xml:space="preserve">This is the actual recorded finish time minus the actual recorded start time. Those times are not shown on this sheet though. </t>
        </r>
      </text>
    </comment>
    <comment ref="AF2" authorId="0" shapeId="0" xr:uid="{C0CA377C-549C-405C-A727-15A7C093D417}">
      <text>
        <r>
          <rPr>
            <sz val="9"/>
            <color indexed="81"/>
            <rFont val="Tahoma"/>
            <family val="2"/>
          </rPr>
          <t>This is the difference between the finish time of the group and the finish time of the group immediately in front of it</t>
        </r>
      </text>
    </comment>
    <comment ref="AH2" authorId="0" shapeId="0" xr:uid="{12040A0F-4C45-43EE-8BED-9DEBBD25C85F}">
      <text>
        <r>
          <rPr>
            <sz val="9"/>
            <color indexed="81"/>
            <rFont val="Tahoma"/>
            <family val="2"/>
          </rPr>
          <t xml:space="preserve">The </t>
        </r>
        <r>
          <rPr>
            <u/>
            <sz val="9"/>
            <color indexed="81"/>
            <rFont val="Tahoma"/>
            <family val="2"/>
          </rPr>
          <t>scheduled</t>
        </r>
        <r>
          <rPr>
            <sz val="9"/>
            <color indexed="81"/>
            <rFont val="Tahoma"/>
            <family val="2"/>
          </rPr>
          <t xml:space="preserve"> tee time.  The actual start time may vary and is not shown on this sheet. </t>
        </r>
      </text>
    </comment>
    <comment ref="AK2" authorId="0" shapeId="0" xr:uid="{A4367208-0C21-4946-9400-819DE54261CC}">
      <text>
        <r>
          <rPr>
            <sz val="9"/>
            <color indexed="81"/>
            <rFont val="Tahoma"/>
            <family val="2"/>
          </rPr>
          <t xml:space="preserve">This is the actual recorded finish time minus the actual recorded start time. Those times are not shown on this sheet though. </t>
        </r>
      </text>
    </comment>
    <comment ref="AL2" authorId="0" shapeId="0" xr:uid="{944F38F2-7876-4EFD-A165-15F6CF04E088}">
      <text>
        <r>
          <rPr>
            <sz val="9"/>
            <color indexed="81"/>
            <rFont val="Tahoma"/>
            <family val="2"/>
          </rPr>
          <t>This is the difference between the finish time of the group and the finish time of the group immediately in front of it</t>
        </r>
      </text>
    </comment>
    <comment ref="AX2" authorId="0" shapeId="0" xr:uid="{6B78CC52-FC90-4FE8-B171-9096F4FC8DBC}">
      <text>
        <r>
          <rPr>
            <sz val="9"/>
            <color indexed="81"/>
            <rFont val="Tahoma"/>
            <family val="2"/>
          </rPr>
          <t>(Average gap - 10 minutes) * rounds played. Where no gap is available, the average of those available is used.
Can be negative, for averrage gap less than 10 minutes.</t>
        </r>
      </text>
    </comment>
    <comment ref="AY2" authorId="0" shapeId="0" xr:uid="{E24E567E-FEC5-4DD9-8103-4D96A4E84DA5}">
      <text>
        <r>
          <rPr>
            <sz val="9"/>
            <color indexed="81"/>
            <rFont val="Tahoma"/>
            <family val="2"/>
          </rPr>
          <t>sum of (gap - 10 minutes) * number of following players for each event. Where no gap is available, the player's average gap is used. 
This number will not be negative as the gap defaults to a minimum of 10 minutes.</t>
        </r>
      </text>
    </comment>
    <comment ref="AZ2" authorId="0" shapeId="0" xr:uid="{51536D44-557D-42D8-9ACC-569F808B018C}">
      <text>
        <r>
          <rPr>
            <sz val="9"/>
            <color indexed="81"/>
            <rFont val="Tahoma"/>
            <family val="2"/>
          </rPr>
          <t xml:space="preserve">No penalties were given during the two day Jackson Classic.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Reid</author>
  </authors>
  <commentList>
    <comment ref="D18" authorId="0" shapeId="0" xr:uid="{158E20D8-2AC1-4B97-AA52-C8BFC14EC10E}">
      <text>
        <r>
          <rPr>
            <sz val="9"/>
            <color indexed="81"/>
            <rFont val="Tahoma"/>
            <family val="2"/>
          </rPr>
          <t>Wooten, Coleman dropped out during the round.</t>
        </r>
      </text>
    </comment>
    <comment ref="D19" authorId="0" shapeId="0" xr:uid="{3572F339-D68E-47A7-BCD2-0EE7C7BF95C7}">
      <text>
        <r>
          <rPr>
            <sz val="9"/>
            <color indexed="81"/>
            <rFont val="Tahoma"/>
            <family val="2"/>
          </rPr>
          <t>Wooten, Coleman dropped out during the round.</t>
        </r>
      </text>
    </comment>
    <comment ref="D24" authorId="0" shapeId="0" xr:uid="{2664E7E5-B137-4597-93FA-DFA2CEA7217A}">
      <text>
        <r>
          <rPr>
            <sz val="9"/>
            <color indexed="81"/>
            <rFont val="Tahoma"/>
            <family val="2"/>
          </rPr>
          <t>Mueller, Dennis dropped out during the round.</t>
        </r>
      </text>
    </comment>
    <comment ref="D25" authorId="0" shapeId="0" xr:uid="{8D6CC2FE-1DB6-4508-B74A-94A24218CD8E}">
      <text>
        <r>
          <rPr>
            <sz val="9"/>
            <color indexed="81"/>
            <rFont val="Tahoma"/>
            <family val="2"/>
          </rPr>
          <t>Mueller, Dennis dropped out during the round.</t>
        </r>
      </text>
    </comment>
    <comment ref="D32" authorId="0" shapeId="0" xr:uid="{8384B9E2-3192-405C-B773-FBB97BBFBA76}">
      <text>
        <r>
          <rPr>
            <sz val="9"/>
            <color indexed="81"/>
            <rFont val="Tahoma"/>
            <family val="2"/>
          </rPr>
          <t>Larry Maloney dropped out during the round.</t>
        </r>
      </text>
    </comment>
    <comment ref="D35" authorId="0" shapeId="0" xr:uid="{AD50B19D-9005-43A0-929D-B1CCB82C27CA}">
      <text>
        <r>
          <rPr>
            <sz val="9"/>
            <color indexed="81"/>
            <rFont val="Tahoma"/>
            <family val="2"/>
          </rPr>
          <t>Chandler, Bob / Dillard, Spencer dropped out during the round.</t>
        </r>
      </text>
    </comment>
    <comment ref="D51" authorId="0" shapeId="0" xr:uid="{4FB73C38-E8B0-4128-8D8B-464BB397C2D2}">
      <text>
        <r>
          <rPr>
            <sz val="9"/>
            <color indexed="81"/>
            <rFont val="Tahoma"/>
            <family val="2"/>
          </rPr>
          <t>Mueller, Dennis dropped out during the round.</t>
        </r>
      </text>
    </comment>
    <comment ref="D52" authorId="0" shapeId="0" xr:uid="{B9313091-A186-4ECF-AAFC-33D62223B209}">
      <text>
        <r>
          <rPr>
            <sz val="9"/>
            <color indexed="81"/>
            <rFont val="Tahoma"/>
            <family val="2"/>
          </rPr>
          <t>Chandler, Bob / Dillard, Spencer dropped out during the round.</t>
        </r>
      </text>
    </comment>
    <comment ref="D60" authorId="0" shapeId="0" xr:uid="{7960A5AA-37A4-46BE-A9A4-C2BD7E931730}">
      <text>
        <r>
          <rPr>
            <sz val="9"/>
            <color indexed="81"/>
            <rFont val="Tahoma"/>
            <family val="2"/>
          </rPr>
          <t>Larry Maloney dropped out during the round.</t>
        </r>
      </text>
    </comment>
    <comment ref="D63" authorId="0" shapeId="0" xr:uid="{4DC9DEB3-340A-447B-B0D9-CF17B9202596}">
      <text>
        <r>
          <rPr>
            <sz val="9"/>
            <color indexed="81"/>
            <rFont val="Tahoma"/>
            <family val="2"/>
          </rPr>
          <t>Wooten, Coleman dropped out during the round.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Reid</author>
  </authors>
  <commentList>
    <comment ref="D44" authorId="0" shapeId="0" xr:uid="{6BE7DD87-B624-481A-918E-6927735FC0E6}">
      <text>
        <r>
          <rPr>
            <sz val="9"/>
            <color indexed="81"/>
            <rFont val="Tahoma"/>
            <family val="2"/>
          </rPr>
          <t xml:space="preserve">Jack Robel did not play.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Reid</author>
  </authors>
  <commentList>
    <comment ref="C12" authorId="0" shapeId="0" xr:uid="{810D975C-68CD-4865-A25C-5BA2F45F65B5}">
      <text>
        <r>
          <rPr>
            <sz val="9"/>
            <color indexed="81"/>
            <rFont val="Tahoma"/>
            <family val="2"/>
          </rPr>
          <t xml:space="preserve">Originally reported as 14:01. Amended to 14:07 after they acknowledged they punched the clock before completing the hole. </t>
        </r>
      </text>
    </comment>
    <comment ref="D12" authorId="0" shapeId="0" xr:uid="{28C09028-088C-4BE2-B8D5-2B8D19B05960}">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Reid</author>
  </authors>
  <commentList>
    <comment ref="D46" authorId="0" shapeId="0" xr:uid="{0FAA1677-EDAA-4CC3-ABFB-3174EFB51CBC}">
      <text>
        <r>
          <rPr>
            <b/>
            <sz val="9"/>
            <color indexed="81"/>
            <rFont val="Tahoma"/>
            <family val="2"/>
          </rPr>
          <t>Reid:</t>
        </r>
        <r>
          <rPr>
            <sz val="9"/>
            <color indexed="81"/>
            <rFont val="Tahoma"/>
            <family val="2"/>
          </rPr>
          <t xml:space="preserve">
Patrick Wilson and Matthew Beyer dropped out.</t>
        </r>
      </text>
    </comment>
    <comment ref="D49" authorId="0" shapeId="0" xr:uid="{BECA85E6-EE7D-478B-AD4B-3042E136BE69}">
      <text>
        <r>
          <rPr>
            <b/>
            <sz val="9"/>
            <color indexed="81"/>
            <rFont val="Tahoma"/>
            <family val="2"/>
          </rPr>
          <t>Reid:</t>
        </r>
        <r>
          <rPr>
            <sz val="9"/>
            <color indexed="81"/>
            <rFont val="Tahoma"/>
            <family val="2"/>
          </rPr>
          <t xml:space="preserve">
Patrick Wilson and Matthew Beyer dropped out.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Reid</author>
  </authors>
  <commentList>
    <comment ref="C16" authorId="0" shapeId="0" xr:uid="{A4DB8119-0B3E-4DB3-803E-58341458180C}">
      <text>
        <r>
          <rPr>
            <sz val="9"/>
            <color indexed="81"/>
            <rFont val="Tahoma"/>
            <family val="2"/>
          </rPr>
          <t xml:space="preserve">Added 5 minutes after discovering that the scorecard was punched before the group putted on #18.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Reid</author>
  </authors>
  <commentList>
    <comment ref="D14" authorId="0" shapeId="0" xr:uid="{CE388A25-260E-40C9-9EC6-ADF5671B474E}">
      <text>
        <r>
          <rPr>
            <sz val="9"/>
            <color indexed="81"/>
            <rFont val="Tahoma"/>
            <family val="2"/>
          </rPr>
          <t>Wooten, Coleman dropped out during the round.</t>
        </r>
      </text>
    </comment>
    <comment ref="D15" authorId="0" shapeId="0" xr:uid="{D8EDC91B-EE5F-4064-8C3C-F1C6450FF7F6}">
      <text>
        <r>
          <rPr>
            <sz val="9"/>
            <color indexed="81"/>
            <rFont val="Tahoma"/>
            <family val="2"/>
          </rPr>
          <t>Wooten, Coleman dropped out during the round.</t>
        </r>
      </text>
    </comment>
    <comment ref="D20" authorId="0" shapeId="0" xr:uid="{806D0F0D-8A6B-4DAB-8EB5-77FEA33A05C5}">
      <text>
        <r>
          <rPr>
            <sz val="9"/>
            <color indexed="81"/>
            <rFont val="Tahoma"/>
            <family val="2"/>
          </rPr>
          <t>Mueller, Dennis dropped out during the round.</t>
        </r>
      </text>
    </comment>
    <comment ref="D21" authorId="0" shapeId="0" xr:uid="{AE58F7B7-9F61-4E6B-A570-4227D49D5572}">
      <text>
        <r>
          <rPr>
            <sz val="9"/>
            <color indexed="81"/>
            <rFont val="Tahoma"/>
            <family val="2"/>
          </rPr>
          <t>Mueller, Dennis dropped out during the round.</t>
        </r>
      </text>
    </comment>
    <comment ref="D28" authorId="0" shapeId="0" xr:uid="{8BB3B688-1D96-488C-B67C-BBB515BFADC6}">
      <text>
        <r>
          <rPr>
            <sz val="9"/>
            <color indexed="81"/>
            <rFont val="Tahoma"/>
            <family val="2"/>
          </rPr>
          <t>Larry Maloney dropped out during the round.</t>
        </r>
      </text>
    </comment>
    <comment ref="D31" authorId="0" shapeId="0" xr:uid="{3E67E67D-78FB-4AAD-8E27-0FA7F1CFB36B}">
      <text>
        <r>
          <rPr>
            <sz val="9"/>
            <color indexed="81"/>
            <rFont val="Tahoma"/>
            <family val="2"/>
          </rPr>
          <t>Chandler, Bob / Dillard, Spencer dropped out during the round.</t>
        </r>
      </text>
    </comment>
    <comment ref="D43" authorId="0" shapeId="0" xr:uid="{DDF0824C-F115-4CFA-B95F-773DF0D06A55}">
      <text>
        <r>
          <rPr>
            <sz val="9"/>
            <color indexed="81"/>
            <rFont val="Tahoma"/>
            <family val="2"/>
          </rPr>
          <t>Mueller, Dennis dropped out during the round.</t>
        </r>
      </text>
    </comment>
    <comment ref="D44" authorId="0" shapeId="0" xr:uid="{F8A57E73-62A6-47C4-A186-EBF2922A1151}">
      <text>
        <r>
          <rPr>
            <sz val="9"/>
            <color indexed="81"/>
            <rFont val="Tahoma"/>
            <family val="2"/>
          </rPr>
          <t>Chandler, Bob / Dillard, Spencer dropped out during the round.</t>
        </r>
      </text>
    </comment>
    <comment ref="D52" authorId="0" shapeId="0" xr:uid="{89F8DEBF-BF23-4F73-96DF-6729CD1DF291}">
      <text>
        <r>
          <rPr>
            <sz val="9"/>
            <color indexed="81"/>
            <rFont val="Tahoma"/>
            <family val="2"/>
          </rPr>
          <t>Larry Maloney dropped out during the round.</t>
        </r>
      </text>
    </comment>
    <comment ref="D55" authorId="0" shapeId="0" xr:uid="{5AC8AA6B-2E21-42A2-BB91-46C878CECB7B}">
      <text>
        <r>
          <rPr>
            <sz val="9"/>
            <color indexed="81"/>
            <rFont val="Tahoma"/>
            <family val="2"/>
          </rPr>
          <t>Wooten, Coleman dropped out during the round.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Reid</author>
  </authors>
  <commentList>
    <comment ref="A2" authorId="0" shapeId="0" xr:uid="{8CA6E7C9-5BFE-4E6D-BA67-D4235CF35624}">
      <text>
        <r>
          <rPr>
            <sz val="9"/>
            <color indexed="81"/>
            <rFont val="Tahoma"/>
            <family val="2"/>
          </rPr>
          <t xml:space="preserve">Slight negative correlation means the lower the index, the higher the gap. </t>
        </r>
      </text>
    </comment>
  </commentList>
</comments>
</file>

<file path=xl/sharedStrings.xml><?xml version="1.0" encoding="utf-8"?>
<sst xmlns="http://schemas.openxmlformats.org/spreadsheetml/2006/main" count="1884" uniqueCount="939">
  <si>
    <t>Adamski, Tom</t>
  </si>
  <si>
    <t>Allan, Tim</t>
  </si>
  <si>
    <t>Alongi, Mario</t>
  </si>
  <si>
    <t>Anderson, Dale</t>
  </si>
  <si>
    <t>Askari, Jacob</t>
  </si>
  <si>
    <t>Asplund, Brian</t>
  </si>
  <si>
    <t>Bade, Michael</t>
  </si>
  <si>
    <t>Beane, Bruce</t>
  </si>
  <si>
    <t>Beary, Dan</t>
  </si>
  <si>
    <t>Becker, Marty</t>
  </si>
  <si>
    <t>Bergeson, Jordan</t>
  </si>
  <si>
    <t>Bergeson, Ryan</t>
  </si>
  <si>
    <t>Bernard, Michael</t>
  </si>
  <si>
    <t>Beyer, Matthew</t>
  </si>
  <si>
    <t>Bickford, Jim</t>
  </si>
  <si>
    <t>Botkins, Joseph</t>
  </si>
  <si>
    <t>Bourgette, Paul</t>
  </si>
  <si>
    <t>Bowen, Brock</t>
  </si>
  <si>
    <t>Bradshaw, Dean</t>
  </si>
  <si>
    <t>Brandenburg, Joe</t>
  </si>
  <si>
    <t>Branley, Dan</t>
  </si>
  <si>
    <t>Brauer, Andrew</t>
  </si>
  <si>
    <t>Brechner, Alex</t>
  </si>
  <si>
    <t>Bresnahan, Jacob</t>
  </si>
  <si>
    <t>Brown, Jonathan</t>
  </si>
  <si>
    <t>Brown, Roger</t>
  </si>
  <si>
    <t>Bryant, Josh</t>
  </si>
  <si>
    <t>Bucher, James</t>
  </si>
  <si>
    <t>Cake, John</t>
  </si>
  <si>
    <t>Callahan, Shaun</t>
  </si>
  <si>
    <t>Caraveo, Lonnie</t>
  </si>
  <si>
    <t>Carpenter, Chris</t>
  </si>
  <si>
    <t>Casey, Larry</t>
  </si>
  <si>
    <t>Casillas, Ed</t>
  </si>
  <si>
    <t>Catterall, James</t>
  </si>
  <si>
    <t>Chandler, Bob</t>
  </si>
  <si>
    <t>Chew, Samuel</t>
  </si>
  <si>
    <t>Chiupka, Russell</t>
  </si>
  <si>
    <t>Choi, Daniel</t>
  </si>
  <si>
    <t>Chung, Steven</t>
  </si>
  <si>
    <t>Clark, Jay</t>
  </si>
  <si>
    <t>Clements, John</t>
  </si>
  <si>
    <t>Coghill, Ryan</t>
  </si>
  <si>
    <t>Costa, Joey</t>
  </si>
  <si>
    <t>Cunningham, Chris</t>
  </si>
  <si>
    <t>De Luca, Branden</t>
  </si>
  <si>
    <t>Dickhoff, Mark</t>
  </si>
  <si>
    <t>Dickhoff, Walt</t>
  </si>
  <si>
    <t>Dillard, Spencer</t>
  </si>
  <si>
    <t>Dodgion, Brad</t>
  </si>
  <si>
    <t>Elsner, Frank</t>
  </si>
  <si>
    <t>Eseman, Connelly</t>
  </si>
  <si>
    <t>Fabela, Dan</t>
  </si>
  <si>
    <t>Fiore, Mark</t>
  </si>
  <si>
    <t>Fisher, Stephen</t>
  </si>
  <si>
    <t>Fleming, Damon</t>
  </si>
  <si>
    <t>Foreman, David</t>
  </si>
  <si>
    <t>Fox, Edwin</t>
  </si>
  <si>
    <t>Franti, John</t>
  </si>
  <si>
    <t>Gabler, Jon</t>
  </si>
  <si>
    <t>Gahan, Andrew</t>
  </si>
  <si>
    <t>Gantt, Trey</t>
  </si>
  <si>
    <t>Gegax, Mark</t>
  </si>
  <si>
    <t>Gilder, Johnnie</t>
  </si>
  <si>
    <t>Greeley, Dana</t>
  </si>
  <si>
    <t>Gross, Robert</t>
  </si>
  <si>
    <t>Gustman, Robert</t>
  </si>
  <si>
    <t>Gutierrez, Ryan</t>
  </si>
  <si>
    <t>Hageage, Joe</t>
  </si>
  <si>
    <t>Hancock, Tyler</t>
  </si>
  <si>
    <t>Hand, Stuart</t>
  </si>
  <si>
    <t>Hansen, Tyler</t>
  </si>
  <si>
    <t>Harrell, Don</t>
  </si>
  <si>
    <t>Hartley, Jack</t>
  </si>
  <si>
    <t>Haughian, Connor</t>
  </si>
  <si>
    <t>Haukap, Dan</t>
  </si>
  <si>
    <t>Hoeft, Monty</t>
  </si>
  <si>
    <t>Holstad, Wally</t>
  </si>
  <si>
    <t>Hom, Tom</t>
  </si>
  <si>
    <t>Horan, Dan</t>
  </si>
  <si>
    <t>Houvener, Tom</t>
  </si>
  <si>
    <t>Hurst, Chad</t>
  </si>
  <si>
    <t>Jackson, Jj</t>
  </si>
  <si>
    <t>Jaworski, Jay</t>
  </si>
  <si>
    <t>Johnson, Eddie</t>
  </si>
  <si>
    <t>Johnson, Reed</t>
  </si>
  <si>
    <t>Johnson, Richard</t>
  </si>
  <si>
    <t>Jones, Alun</t>
  </si>
  <si>
    <t>Jones, Doug</t>
  </si>
  <si>
    <t>Jones, Lee</t>
  </si>
  <si>
    <t>Jones, Travis</t>
  </si>
  <si>
    <t>Jonson, Jonny</t>
  </si>
  <si>
    <t>Jung, Andrew</t>
  </si>
  <si>
    <t>Jung, John</t>
  </si>
  <si>
    <t>Keller, Ty</t>
  </si>
  <si>
    <t>Kiehn, Kurt</t>
  </si>
  <si>
    <t>Kim, Justin</t>
  </si>
  <si>
    <t>Kim, Stephen</t>
  </si>
  <si>
    <t>Klubberud, Arne</t>
  </si>
  <si>
    <t>Ko, Supin</t>
  </si>
  <si>
    <t>Krafve, Michael</t>
  </si>
  <si>
    <t>Kruiniger, Justin</t>
  </si>
  <si>
    <t>Kudrna, Darin</t>
  </si>
  <si>
    <t>Larson, Brian</t>
  </si>
  <si>
    <t>Leboa, Carl</t>
  </si>
  <si>
    <t>Lee, Daniel</t>
  </si>
  <si>
    <t>Lewis, Mitch</t>
  </si>
  <si>
    <t>Lipe, Matthew</t>
  </si>
  <si>
    <t>Logsdon, Ron</t>
  </si>
  <si>
    <t>Lopez, Joseph</t>
  </si>
  <si>
    <t>Loseno, David</t>
  </si>
  <si>
    <t>Loy, Dave</t>
  </si>
  <si>
    <t>Lynch, Mark</t>
  </si>
  <si>
    <t>MEIER, KARL</t>
  </si>
  <si>
    <t>MacFarlane, Kevin</t>
  </si>
  <si>
    <t>Macht, Jeremy</t>
  </si>
  <si>
    <t>Macias, Steve</t>
  </si>
  <si>
    <t>Maloney, Larry</t>
  </si>
  <si>
    <t>Marcus, Jeff</t>
  </si>
  <si>
    <t>Mardesich, Mike</t>
  </si>
  <si>
    <t>Martinez, Sam</t>
  </si>
  <si>
    <t>Massey, Quinn</t>
  </si>
  <si>
    <t>Matsunami, Todd</t>
  </si>
  <si>
    <t>McArdle, Dave</t>
  </si>
  <si>
    <t>McCoach, Conor</t>
  </si>
  <si>
    <t>McDonald IV, Harry</t>
  </si>
  <si>
    <t>McDonald, Harry</t>
  </si>
  <si>
    <t>McShane, Daniel</t>
  </si>
  <si>
    <t>Michaelis, Cory</t>
  </si>
  <si>
    <t>Mietzner, Jeffrey</t>
  </si>
  <si>
    <t>Mueller, Dennis</t>
  </si>
  <si>
    <t>Murray, Mark</t>
  </si>
  <si>
    <t>Nelson, Levin</t>
  </si>
  <si>
    <t>Nelson, Rick</t>
  </si>
  <si>
    <t>Niemeyer, Christopher</t>
  </si>
  <si>
    <t>Norton, Larry</t>
  </si>
  <si>
    <t>Nugent, Douglas</t>
  </si>
  <si>
    <t>Nysoe, Brent</t>
  </si>
  <si>
    <t>O'Brien, Dave</t>
  </si>
  <si>
    <t>O'Brien, Kevin</t>
  </si>
  <si>
    <t>OGARD, CHRISTIAN</t>
  </si>
  <si>
    <t>Ohrenschall, Mark</t>
  </si>
  <si>
    <t>Olin, Randy</t>
  </si>
  <si>
    <t>Osuga, Yasuhisa</t>
  </si>
  <si>
    <t>Parsons, Cole</t>
  </si>
  <si>
    <t>Pasion, Lloyd</t>
  </si>
  <si>
    <t>Pate, Trace</t>
  </si>
  <si>
    <t>Pearman, Paul</t>
  </si>
  <si>
    <t>Persinger, Mark</t>
  </si>
  <si>
    <t>Petersen, Nicolai</t>
  </si>
  <si>
    <t>Peterson, Bruce</t>
  </si>
  <si>
    <t>Platner, Brian</t>
  </si>
  <si>
    <t>Polen, Brett</t>
  </si>
  <si>
    <t>Porter, Thomas</t>
  </si>
  <si>
    <t>Pringle, Ryne</t>
  </si>
  <si>
    <t>Puetz, Dan</t>
  </si>
  <si>
    <t>Puetz, John</t>
  </si>
  <si>
    <t>Quinn, Patrick</t>
  </si>
  <si>
    <t>REES, RICHARD</t>
  </si>
  <si>
    <t>Racher, Tyler</t>
  </si>
  <si>
    <t>Rask, Rob</t>
  </si>
  <si>
    <t>Rees, Joseph</t>
  </si>
  <si>
    <t>Richter, Bill</t>
  </si>
  <si>
    <t>Robel, Bernard</t>
  </si>
  <si>
    <t>Robel, Hans</t>
  </si>
  <si>
    <t>Robel, Jack</t>
  </si>
  <si>
    <t>Roberts, Blair</t>
  </si>
  <si>
    <t>Robertson, Stuart</t>
  </si>
  <si>
    <t>Rockey, Cory</t>
  </si>
  <si>
    <t>Rockey, Shawn</t>
  </si>
  <si>
    <t>Romanick, Norm</t>
  </si>
  <si>
    <t>Rovig, Ted</t>
  </si>
  <si>
    <t>Rowe, Tim</t>
  </si>
  <si>
    <t>Rowson, Bryan</t>
  </si>
  <si>
    <t>Rutz, Oliver</t>
  </si>
  <si>
    <t>SIMMONS, SCOTT</t>
  </si>
  <si>
    <t>Schaeffer, Dan</t>
  </si>
  <si>
    <t>Schilperoort, Jason</t>
  </si>
  <si>
    <t>Schoening, Jeffrey</t>
  </si>
  <si>
    <t>Schwartz, Trent</t>
  </si>
  <si>
    <t>Scott, Daniel</t>
  </si>
  <si>
    <t>Scott, Gregory</t>
  </si>
  <si>
    <t>Scott, Justin</t>
  </si>
  <si>
    <t>Selman, William</t>
  </si>
  <si>
    <t>Showalter, Gabe</t>
  </si>
  <si>
    <t>Sifferman, Greg</t>
  </si>
  <si>
    <t>Sifferman, Phil</t>
  </si>
  <si>
    <t>Sifferman, Philip</t>
  </si>
  <si>
    <t>Sifferman, Zach</t>
  </si>
  <si>
    <t>Slack, Patrick</t>
  </si>
  <si>
    <t>Smith, Ken</t>
  </si>
  <si>
    <t>Smith, Michael</t>
  </si>
  <si>
    <t>Sonnen, Steven</t>
  </si>
  <si>
    <t>Spacciante, Anthony</t>
  </si>
  <si>
    <t>Stutzenberger, Matthew</t>
  </si>
  <si>
    <t>Swick, Reid</t>
  </si>
  <si>
    <t>Taggart, Jon</t>
  </si>
  <si>
    <t>Thorson, Thomas</t>
  </si>
  <si>
    <t>Tucker, Spencer</t>
  </si>
  <si>
    <t>Vierthaler, Peter</t>
  </si>
  <si>
    <t>Wade, Chip</t>
  </si>
  <si>
    <t>Wallace, Vince</t>
  </si>
  <si>
    <t>Wang, James</t>
  </si>
  <si>
    <t>Wanzer, Bryan</t>
  </si>
  <si>
    <t>Watson, Ian</t>
  </si>
  <si>
    <t>Wattula, Mel</t>
  </si>
  <si>
    <t>Webster, Chad</t>
  </si>
  <si>
    <t>Webster, McGhee</t>
  </si>
  <si>
    <t>Westby, Eyvind</t>
  </si>
  <si>
    <t>Whelan, Jack</t>
  </si>
  <si>
    <t>Williams, Jeff</t>
  </si>
  <si>
    <t>Wilson, Patrick</t>
  </si>
  <si>
    <t>Wistrom, Tim</t>
  </si>
  <si>
    <t>Wooten, Coleman</t>
  </si>
  <si>
    <t>Wright, Paul</t>
  </si>
  <si>
    <t>lindsay, kerstan</t>
  </si>
  <si>
    <t>van Hollebeke, Greg</t>
  </si>
  <si>
    <t>Name</t>
  </si>
  <si>
    <t>Jackson Classic day 2</t>
  </si>
  <si>
    <t>gap</t>
  </si>
  <si>
    <t>Maximum round time</t>
  </si>
  <si>
    <t>penalty</t>
  </si>
  <si>
    <t>DQ</t>
  </si>
  <si>
    <t>Jackson Classic day 1</t>
  </si>
  <si>
    <t>tee time2</t>
  </si>
  <si>
    <t>Tee time1</t>
  </si>
  <si>
    <t>round1</t>
  </si>
  <si>
    <t>gap1</t>
  </si>
  <si>
    <t>Round2</t>
  </si>
  <si>
    <t>gap2</t>
  </si>
  <si>
    <t>tee time3</t>
  </si>
  <si>
    <t>round3</t>
  </si>
  <si>
    <t>gap3</t>
  </si>
  <si>
    <t>Summer Field Day</t>
  </si>
  <si>
    <t>Count</t>
  </si>
  <si>
    <t>Markwardt, Robert</t>
  </si>
  <si>
    <t>HI</t>
  </si>
  <si>
    <t>GHIN #</t>
  </si>
  <si>
    <t>10759457</t>
  </si>
  <si>
    <t>10859907</t>
  </si>
  <si>
    <t>2807557</t>
  </si>
  <si>
    <t>6396857</t>
  </si>
  <si>
    <t>10438633</t>
  </si>
  <si>
    <t>2007596</t>
  </si>
  <si>
    <t>8665827</t>
  </si>
  <si>
    <t>992127</t>
  </si>
  <si>
    <t>10248593</t>
  </si>
  <si>
    <t>1203295</t>
  </si>
  <si>
    <t>2847899</t>
  </si>
  <si>
    <t>3014505</t>
  </si>
  <si>
    <t>4399706</t>
  </si>
  <si>
    <t>2585840</t>
  </si>
  <si>
    <t>3603002</t>
  </si>
  <si>
    <t>214257</t>
  </si>
  <si>
    <t>98523</t>
  </si>
  <si>
    <t>8705674</t>
  </si>
  <si>
    <t>308220</t>
  </si>
  <si>
    <t>976814</t>
  </si>
  <si>
    <t>10756030</t>
  </si>
  <si>
    <t>10664703</t>
  </si>
  <si>
    <t>10320434</t>
  </si>
  <si>
    <t>1749263</t>
  </si>
  <si>
    <t>2552994</t>
  </si>
  <si>
    <t>8722829</t>
  </si>
  <si>
    <t>10768303</t>
  </si>
  <si>
    <t>1190446</t>
  </si>
  <si>
    <t>1407722</t>
  </si>
  <si>
    <t>10216600</t>
  </si>
  <si>
    <t>10780245</t>
  </si>
  <si>
    <t>10737159</t>
  </si>
  <si>
    <t>1983855</t>
  </si>
  <si>
    <t>830950</t>
  </si>
  <si>
    <t>10996937</t>
  </si>
  <si>
    <t>1633138</t>
  </si>
  <si>
    <t>10756070</t>
  </si>
  <si>
    <t>993504</t>
  </si>
  <si>
    <t>10796190</t>
  </si>
  <si>
    <t>10814953</t>
  </si>
  <si>
    <t>2005827</t>
  </si>
  <si>
    <t>700650</t>
  </si>
  <si>
    <t>2732768</t>
  </si>
  <si>
    <t>10817656</t>
  </si>
  <si>
    <t>2727899</t>
  </si>
  <si>
    <t>10779694</t>
  </si>
  <si>
    <t>1742917</t>
  </si>
  <si>
    <t>1390947</t>
  </si>
  <si>
    <t>10631918</t>
  </si>
  <si>
    <t>3018460</t>
  </si>
  <si>
    <t>10722949</t>
  </si>
  <si>
    <t>10582207</t>
  </si>
  <si>
    <t>1221266</t>
  </si>
  <si>
    <t>3000543</t>
  </si>
  <si>
    <t>424359</t>
  </si>
  <si>
    <t>3123061</t>
  </si>
  <si>
    <t>6721360</t>
  </si>
  <si>
    <t>10248663</t>
  </si>
  <si>
    <t>3176421</t>
  </si>
  <si>
    <t>111374</t>
  </si>
  <si>
    <t>3000068</t>
  </si>
  <si>
    <t>3011359</t>
  </si>
  <si>
    <t>3071001</t>
  </si>
  <si>
    <t>10276236</t>
  </si>
  <si>
    <t>1597113</t>
  </si>
  <si>
    <t>10535041</t>
  </si>
  <si>
    <t>8666198</t>
  </si>
  <si>
    <t>8619257</t>
  </si>
  <si>
    <t>10728107</t>
  </si>
  <si>
    <t/>
  </si>
  <si>
    <t>10813946</t>
  </si>
  <si>
    <t>1883902</t>
  </si>
  <si>
    <t>3078296</t>
  </si>
  <si>
    <t>8465391</t>
  </si>
  <si>
    <t>2946799</t>
  </si>
  <si>
    <t>10901640</t>
  </si>
  <si>
    <t>10402445</t>
  </si>
  <si>
    <t>2886382</t>
  </si>
  <si>
    <t>5114432</t>
  </si>
  <si>
    <t>10279675</t>
  </si>
  <si>
    <t>8538738</t>
  </si>
  <si>
    <t>2155861</t>
  </si>
  <si>
    <t>10516059</t>
  </si>
  <si>
    <t>3859502</t>
  </si>
  <si>
    <t>10793096</t>
  </si>
  <si>
    <t>2244574</t>
  </si>
  <si>
    <t>8461748</t>
  </si>
  <si>
    <t>292071</t>
  </si>
  <si>
    <t>1117357</t>
  </si>
  <si>
    <t>1866658</t>
  </si>
  <si>
    <t>4991373</t>
  </si>
  <si>
    <t>4991374</t>
  </si>
  <si>
    <t>4050103</t>
  </si>
  <si>
    <t>706604</t>
  </si>
  <si>
    <t>818883</t>
  </si>
  <si>
    <t>8673663</t>
  </si>
  <si>
    <t>1282468</t>
  </si>
  <si>
    <t>10533049</t>
  </si>
  <si>
    <t>2242509</t>
  </si>
  <si>
    <t>2088105</t>
  </si>
  <si>
    <t>10516915</t>
  </si>
  <si>
    <t>1388983</t>
  </si>
  <si>
    <t>10322033</t>
  </si>
  <si>
    <t>2021459</t>
  </si>
  <si>
    <t>132270</t>
  </si>
  <si>
    <t>2567210</t>
  </si>
  <si>
    <t>1696467</t>
  </si>
  <si>
    <t>2013772</t>
  </si>
  <si>
    <t>10768116</t>
  </si>
  <si>
    <t>1588337</t>
  </si>
  <si>
    <t>844756</t>
  </si>
  <si>
    <t>10875138</t>
  </si>
  <si>
    <t>8652214</t>
  </si>
  <si>
    <t>7242518</t>
  </si>
  <si>
    <t>2043852</t>
  </si>
  <si>
    <t>10933897</t>
  </si>
  <si>
    <t>10241925</t>
  </si>
  <si>
    <t>10721574</t>
  </si>
  <si>
    <t>8473020</t>
  </si>
  <si>
    <t>1571338</t>
  </si>
  <si>
    <t>3408019</t>
  </si>
  <si>
    <t>10896828</t>
  </si>
  <si>
    <t>10268112</t>
  </si>
  <si>
    <t>3127462</t>
  </si>
  <si>
    <t>122206</t>
  </si>
  <si>
    <t>1843727</t>
  </si>
  <si>
    <t>11073338</t>
  </si>
  <si>
    <t>10759663</t>
  </si>
  <si>
    <t>2547692</t>
  </si>
  <si>
    <t>10960074</t>
  </si>
  <si>
    <t>10640239</t>
  </si>
  <si>
    <t>2543063</t>
  </si>
  <si>
    <t>6485710</t>
  </si>
  <si>
    <t>3763504</t>
  </si>
  <si>
    <t>6277638</t>
  </si>
  <si>
    <t>3062172</t>
  </si>
  <si>
    <t>2150691</t>
  </si>
  <si>
    <t>10253495</t>
  </si>
  <si>
    <t>4219708</t>
  </si>
  <si>
    <t>8424815</t>
  </si>
  <si>
    <t>3182192</t>
  </si>
  <si>
    <t>10884750</t>
  </si>
  <si>
    <t>434155</t>
  </si>
  <si>
    <t>10898079</t>
  </si>
  <si>
    <t>2781639</t>
  </si>
  <si>
    <t>2136170</t>
  </si>
  <si>
    <t>1231563</t>
  </si>
  <si>
    <t>10799477</t>
  </si>
  <si>
    <t>10802209</t>
  </si>
  <si>
    <t>2936480</t>
  </si>
  <si>
    <t>10238405</t>
  </si>
  <si>
    <t>253837</t>
  </si>
  <si>
    <t>10382362</t>
  </si>
  <si>
    <t>2547408</t>
  </si>
  <si>
    <t>10775324</t>
  </si>
  <si>
    <t>1696459</t>
  </si>
  <si>
    <t>10447085</t>
  </si>
  <si>
    <t>10258877</t>
  </si>
  <si>
    <t>3855005</t>
  </si>
  <si>
    <t>2933561</t>
  </si>
  <si>
    <t>3003964</t>
  </si>
  <si>
    <t>2106810</t>
  </si>
  <si>
    <t>10566649</t>
  </si>
  <si>
    <t>10944655</t>
  </si>
  <si>
    <t>10896432</t>
  </si>
  <si>
    <t>1477161</t>
  </si>
  <si>
    <t>2571391</t>
  </si>
  <si>
    <t>3212878</t>
  </si>
  <si>
    <t>3212876</t>
  </si>
  <si>
    <t>339784</t>
  </si>
  <si>
    <t>10695592</t>
  </si>
  <si>
    <t>8711429</t>
  </si>
  <si>
    <t>8705394</t>
  </si>
  <si>
    <t>700827</t>
  </si>
  <si>
    <t>3023460</t>
  </si>
  <si>
    <t>1086736</t>
  </si>
  <si>
    <t>10519162</t>
  </si>
  <si>
    <t>2712445</t>
  </si>
  <si>
    <t>10724027</t>
  </si>
  <si>
    <t>2223496</t>
  </si>
  <si>
    <t>5420508</t>
  </si>
  <si>
    <t>10319205</t>
  </si>
  <si>
    <t>10815404</t>
  </si>
  <si>
    <t>10575368</t>
  </si>
  <si>
    <t>10989693</t>
  </si>
  <si>
    <t>2541469</t>
  </si>
  <si>
    <t>2570552</t>
  </si>
  <si>
    <t>5692213</t>
  </si>
  <si>
    <t>10720415</t>
  </si>
  <si>
    <t>10720374</t>
  </si>
  <si>
    <t>10603539</t>
  </si>
  <si>
    <t>10736225</t>
  </si>
  <si>
    <t>10754582</t>
  </si>
  <si>
    <t>2509987</t>
  </si>
  <si>
    <t>113916</t>
  </si>
  <si>
    <t>10757686</t>
  </si>
  <si>
    <t>2567211</t>
  </si>
  <si>
    <t>3859517</t>
  </si>
  <si>
    <t>10485230</t>
  </si>
  <si>
    <t>10426821</t>
  </si>
  <si>
    <t>1624058</t>
  </si>
  <si>
    <t>8551295</t>
  </si>
  <si>
    <t>1333356</t>
  </si>
  <si>
    <t>445200</t>
  </si>
  <si>
    <t>1274578</t>
  </si>
  <si>
    <t>239689</t>
  </si>
  <si>
    <t>1099118</t>
  </si>
  <si>
    <t>10255134</t>
  </si>
  <si>
    <t>1618971</t>
  </si>
  <si>
    <t>2547417</t>
  </si>
  <si>
    <t>3062163</t>
  </si>
  <si>
    <t>2552290</t>
  </si>
  <si>
    <t>2027413</t>
  </si>
  <si>
    <t>78120</t>
  </si>
  <si>
    <t>1367962</t>
  </si>
  <si>
    <t>2556141</t>
  </si>
  <si>
    <t>3075854</t>
  </si>
  <si>
    <t>10764476</t>
  </si>
  <si>
    <t>avg gap</t>
  </si>
  <si>
    <t>median round</t>
  </si>
  <si>
    <t>Totals</t>
  </si>
  <si>
    <t>HI to gap</t>
  </si>
  <si>
    <t>round to gap 1</t>
  </si>
  <si>
    <t>tee time to gap1</t>
  </si>
  <si>
    <t>tee time to gap 2</t>
  </si>
  <si>
    <t>tee time to gap 3</t>
  </si>
  <si>
    <t>round to gap 2</t>
  </si>
  <si>
    <t>round to gap 3</t>
  </si>
  <si>
    <t>avg tee time</t>
  </si>
  <si>
    <t>MEDIAN round time to AVG gap</t>
  </si>
  <si>
    <t>AVG tee time to AVG gap</t>
  </si>
  <si>
    <t>gap4</t>
  </si>
  <si>
    <t>tee time4</t>
  </si>
  <si>
    <t>round4</t>
  </si>
  <si>
    <t>6-6-6</t>
  </si>
  <si>
    <t>starting interval</t>
  </si>
  <si>
    <t>Curtis, Kiel</t>
  </si>
  <si>
    <t>Ecton, Nick</t>
  </si>
  <si>
    <t>Evans, Jesse</t>
  </si>
  <si>
    <t>Lund, Evan</t>
  </si>
  <si>
    <t>Luu, Van</t>
  </si>
  <si>
    <t>Moghimi, Mozie</t>
  </si>
  <si>
    <t>Pope, Dave</t>
  </si>
  <si>
    <t>Sena-Hopkins, Nick</t>
  </si>
  <si>
    <t>Sundin, Kellen</t>
  </si>
  <si>
    <t>Zhang, Bochao</t>
  </si>
  <si>
    <t>AVG tee time to MEDIAN round time</t>
  </si>
  <si>
    <t>total delay minutes</t>
  </si>
  <si>
    <t>ever penalized?</t>
  </si>
  <si>
    <t>Y</t>
  </si>
  <si>
    <t>Medians</t>
  </si>
  <si>
    <t>gap5</t>
  </si>
  <si>
    <t>tee time5</t>
  </si>
  <si>
    <t>round5</t>
  </si>
  <si>
    <t>Fall field day</t>
  </si>
  <si>
    <t>Sebastian, Steve</t>
  </si>
  <si>
    <t>Puetz, Dan Jr</t>
  </si>
  <si>
    <t>followers1</t>
  </si>
  <si>
    <t>followers2</t>
  </si>
  <si>
    <t>followers3</t>
  </si>
  <si>
    <t>followers4</t>
  </si>
  <si>
    <t>followers5</t>
  </si>
  <si>
    <t>2021 Jackson Classic </t>
  </si>
  <si>
    <t>Group</t>
  </si>
  <si>
    <t>start time</t>
  </si>
  <si>
    <t>#18</t>
  </si>
  <si>
    <t>total time</t>
  </si>
  <si>
    <t>gap at #18</t>
  </si>
  <si>
    <t>followers</t>
  </si>
  <si>
    <t>NA</t>
  </si>
  <si>
    <t>Player</t>
  </si>
  <si>
    <t>Tee Time</t>
  </si>
  <si>
    <t>Tee</t>
  </si>
  <si>
    <t>Other Players</t>
  </si>
  <si>
    <t>Blue - Men</t>
  </si>
  <si>
    <t>Hartley, Jack / O'Brien, Dave / Rutz, Oliver</t>
  </si>
  <si>
    <t>Kim, Stephen / Thorson, Thomas</t>
  </si>
  <si>
    <t>Catterall, James / Mardesich, Mike / Markwardt , Robert</t>
  </si>
  <si>
    <t>White - Men</t>
  </si>
  <si>
    <t>Harrell, Don / Ko, Supin / Leboa, Carl</t>
  </si>
  <si>
    <t>Fox, Edwin / Rockey, Shawn / Wilson, Patrick</t>
  </si>
  <si>
    <t>Dodgion, Brad / Gantt, Trey / Kudrna, Darin</t>
  </si>
  <si>
    <t>Niemeyer, Christopher / Osuga, Yasuhisa / Rockey, Cory</t>
  </si>
  <si>
    <t>Bade, Michael / Mardesich, Mike / Markwardt , Robert</t>
  </si>
  <si>
    <t>Hom, Tom / Jones, Doug / Wattula, Mel</t>
  </si>
  <si>
    <t>Kim, Justin / Persinger, Mark / Polen, Brett</t>
  </si>
  <si>
    <t>Bucher, James / Gantt, Trey / Kudrna, Darin</t>
  </si>
  <si>
    <t>Haukap, Dan / Platner, Brian / Pringle, Ryne</t>
  </si>
  <si>
    <t>Selman, William / Smith, Ken / Wang, James</t>
  </si>
  <si>
    <t>Nugent, Douglas / Ohrenschall, Mark</t>
  </si>
  <si>
    <t>Beyer, Matthew / Rockey, Shawn / Wilson, Patrick</t>
  </si>
  <si>
    <t>Bucher, James / Dodgion, Brad / Kudrna, Darin</t>
  </si>
  <si>
    <t>Hansen, Tyler / Williams, Jeff / Wooten, Coleman</t>
  </si>
  <si>
    <t>Gutierrez, Ryan / Williams, Jeff / Wooten, Coleman</t>
  </si>
  <si>
    <t>Bernard, Michael / Ko, Supin / Leboa, Carl</t>
  </si>
  <si>
    <t>Askari, Jacob / O'Brien, Dave / Rutz, Oliver</t>
  </si>
  <si>
    <t>Elsner, Frank / Platner, Brian / Pringle, Ryne</t>
  </si>
  <si>
    <t>Clark, Jay / Jones, Doug / Wattula, Mel</t>
  </si>
  <si>
    <t>Johnson, Reed / Mueller, Dennis / Schoening, Jeffrey</t>
  </si>
  <si>
    <t>Horan, Dan / Mueller, Dennis / Schoening, Jeffrey</t>
  </si>
  <si>
    <t>Clark, Jay / Hom, Tom / Wattula, Mel</t>
  </si>
  <si>
    <t>Dickhoff, Walt / Persinger, Mark / Polen, Brett</t>
  </si>
  <si>
    <t>Asplund, Brian / Thorson, Thomas</t>
  </si>
  <si>
    <t>Bernard, Michael / Harrell, Don / Leboa, Carl</t>
  </si>
  <si>
    <t>Bucher, James / Dodgion, Brad / Gantt, Trey</t>
  </si>
  <si>
    <t>Bernard, Michael / Harrell, Don / Ko, Supin</t>
  </si>
  <si>
    <t>Maloney, Larry / Wallace, Vince</t>
  </si>
  <si>
    <t>Bade, Michael / Catterall, James / Markwardt , Robert</t>
  </si>
  <si>
    <t>Bade, Michael / Catterall, James / Mardesich, Mike</t>
  </si>
  <si>
    <t>Chandler, Bob / Dillard, Spencer / Schwartz, Trent</t>
  </si>
  <si>
    <t>Caraveo, Lonnie / Osuga, Yasuhisa / Rockey, Cory</t>
  </si>
  <si>
    <t>Foreman, David / Ohrenschall, Mark</t>
  </si>
  <si>
    <t>Askari, Jacob / Hartley, Jack / Rutz, Oliver</t>
  </si>
  <si>
    <t>Foreman, David / Nugent, Douglas</t>
  </si>
  <si>
    <t>Caraveo, Lonnie / Niemeyer, Christopher / Rockey, Cory</t>
  </si>
  <si>
    <t>Dickhoff, Walt / Kim, Justin / Polen, Brett</t>
  </si>
  <si>
    <t>Elsner, Frank / Haukap, Dan / Pringle, Ryne</t>
  </si>
  <si>
    <t>Dickhoff, Walt / Kim, Justin / Persinger, Mark</t>
  </si>
  <si>
    <t>Elsner, Frank / Haukap, Dan / Platner, Brian</t>
  </si>
  <si>
    <t>Robel, Hans / Robel, Jack</t>
  </si>
  <si>
    <t>Robel, Bernard / Robel, Jack</t>
  </si>
  <si>
    <t>Robel, Bernard / Robel, Hans</t>
  </si>
  <si>
    <t>Caraveo, Lonnie / Niemeyer, Christopher / Osuga, Yasuhisa</t>
  </si>
  <si>
    <t>Beyer, Matthew / Fox, Edwin / Wilson, Patrick</t>
  </si>
  <si>
    <t>Askari, Jacob / Hartley, Jack / O'Brien, Dave</t>
  </si>
  <si>
    <t>Horan, Dan / Johnson, Reed / Mueller, Dennis</t>
  </si>
  <si>
    <t>Chandler, Bob / Dillard, Spencer / Nelson, Rick</t>
  </si>
  <si>
    <t>Eseman, Connelly / Smith, Ken / Wang, James</t>
  </si>
  <si>
    <t>Sifferman, Phil / Sifferman, Philip / Sifferman, Zach</t>
  </si>
  <si>
    <t>Sifferman, Greg / Sifferman, Philip / Sifferman, Zach</t>
  </si>
  <si>
    <t>Sifferman, Greg / Sifferman, Phil / Sifferman, Zach</t>
  </si>
  <si>
    <t>Sifferman, Greg / Sifferman, Phil / Sifferman, Philip</t>
  </si>
  <si>
    <t>Eseman, Connelly / Selman, William / Wang, James</t>
  </si>
  <si>
    <t>Asplund, Brian / Kim, Stephen</t>
  </si>
  <si>
    <t>Lee, Daniel / Maloney, Larry</t>
  </si>
  <si>
    <t>Eseman, Connelly / Selman, William / Smith, Ken</t>
  </si>
  <si>
    <t>Clark, Jay / Hom, Tom / Jones, Doug</t>
  </si>
  <si>
    <t>Gutierrez, Ryan / Hansen, Tyler / Wooten, Coleman</t>
  </si>
  <si>
    <t>Beyer, Matthew / Fox, Edwin / Rockey, Shawn</t>
  </si>
  <si>
    <t>2021 Jackson Classic day 2</t>
  </si>
  <si>
    <t>Leboa, Carl / Schoening, Jeffrey</t>
  </si>
  <si>
    <t>Fox, Edwin / Harrell, Don / Persinger, Mark</t>
  </si>
  <si>
    <t>Bucher, James / O'Brien, Dave / Sifferman, Greg</t>
  </si>
  <si>
    <t>Caraveo, Lonnie / Elsner, Frank / Hom, Tom</t>
  </si>
  <si>
    <t>Markwardt , Robert / Niemeyer, Christopher / Sifferman, Zach</t>
  </si>
  <si>
    <t>Bade, Michael / O'Brien, Dave / Sifferman, Greg</t>
  </si>
  <si>
    <t>Bernard, Michael / Elsner, Frank / Hom, Tom</t>
  </si>
  <si>
    <t>Gantt, Trey / Pringle, Ryne / Wilson, Patrick</t>
  </si>
  <si>
    <t>Horan, Dan / Rockey, Shawn / Sifferman, Phil</t>
  </si>
  <si>
    <t>Johnson, Reed / Jones, Doug / Wattula, Mel</t>
  </si>
  <si>
    <t>Kim, Stephen / Rockey, Cory / Wang, James</t>
  </si>
  <si>
    <t>Bernard, Michael / Caraveo, Lonnie / Hom, Tom</t>
  </si>
  <si>
    <t>Sifferman, Philip / Smith, Ken / Wallace, Vince</t>
  </si>
  <si>
    <t>Hartley, Jack / Ohrenschall, Mark / Selman, William</t>
  </si>
  <si>
    <t>Asplund, Brian / Harrell, Don / Persinger, Mark</t>
  </si>
  <si>
    <t>Catterall, James / Pringle, Ryne / Wilson, Patrick</t>
  </si>
  <si>
    <t>Haukap, Dan / Ko, Supin / Williams, Jeff</t>
  </si>
  <si>
    <t>Asplund, Brian / Fox, Edwin / Persinger, Mark</t>
  </si>
  <si>
    <t>Foreman, David / Ohrenschall, Mark / Selman, William</t>
  </si>
  <si>
    <t>Hansen, Tyler / Ko, Supin / Williams, Jeff</t>
  </si>
  <si>
    <t>Bernard, Michael / Caraveo, Lonnie / Elsner, Frank</t>
  </si>
  <si>
    <t>Clark, Jay / Rockey, Shawn / Sifferman, Phil</t>
  </si>
  <si>
    <t>Dickhoff, Walt / Jones, Doug / Wattula, Mel</t>
  </si>
  <si>
    <t>Dickhoff, Walt / Johnson, Reed / Wattula, Mel</t>
  </si>
  <si>
    <t>Dodgion, Brad / Rockey, Cory / Wang, James</t>
  </si>
  <si>
    <t>Hansen, Tyler / Haukap, Dan / Williams, Jeff</t>
  </si>
  <si>
    <t>Askari, Jacob / Schoening, Jeffrey</t>
  </si>
  <si>
    <t>Nugent, Douglas / Rutz, Oliver / Thorson, Thomas</t>
  </si>
  <si>
    <t>Beyer, Matthew / Niemeyer, Christopher / Sifferman, Zach</t>
  </si>
  <si>
    <t>Beyer, Matthew / Markwardt , Robert / Sifferman, Zach</t>
  </si>
  <si>
    <t>Lee, Daniel / Rutz, Oliver / Thorson, Thomas</t>
  </si>
  <si>
    <t>Bade, Michael / Bucher, James / Sifferman, Greg</t>
  </si>
  <si>
    <t>Foreman, David / Hartley, Jack / Selman, William</t>
  </si>
  <si>
    <t>Asplund, Brian / Fox, Edwin / Harrell, Don</t>
  </si>
  <si>
    <t>Robel, Hans / Robel, Jack / Schwartz, Trent</t>
  </si>
  <si>
    <t>Catterall, James / Gantt, Trey / Wilson, Patrick</t>
  </si>
  <si>
    <t>Polen, Brett / Robel, Jack / Schwartz, Trent</t>
  </si>
  <si>
    <t>Dodgion, Brad / Kim, Stephen / Wang, James</t>
  </si>
  <si>
    <t>Clark, Jay / Horan, Dan / Sifferman, Phil</t>
  </si>
  <si>
    <t>Lee, Daniel / Nugent, Douglas / Thorson, Thomas</t>
  </si>
  <si>
    <t>Askari, Jacob / Leboa, Carl</t>
  </si>
  <si>
    <t>Polen, Brett / Robel, Hans / Robel, Jack</t>
  </si>
  <si>
    <t>Foreman, David / Hartley, Jack / Ohrenschall, Mark</t>
  </si>
  <si>
    <t>Bade, Michael / Bucher, James / O'Brien, Dave</t>
  </si>
  <si>
    <t>Clark, Jay / Horan, Dan / Rockey, Shawn</t>
  </si>
  <si>
    <t>Eseman, Connelly / Smith, Ken / Wallace, Vince</t>
  </si>
  <si>
    <t>Beyer, Matthew / Markwardt , Robert / Niemeyer, Christopher</t>
  </si>
  <si>
    <t>Eseman, Connelly / Sifferman, Philip / Wallace, Vince</t>
  </si>
  <si>
    <t>Lee, Daniel / Nugent, Douglas / Rutz, Oliver</t>
  </si>
  <si>
    <t>Eseman, Connelly / Sifferman, Philip / Smith, Ken</t>
  </si>
  <si>
    <t>Dodgion, Brad / Kim, Stephen / Rockey, Cory</t>
  </si>
  <si>
    <t>Dickhoff, Walt / Johnson, Reed / Jones, Doug</t>
  </si>
  <si>
    <t>Hansen, Tyler / Haukap, Dan / Ko, Supin</t>
  </si>
  <si>
    <t>Catterall, James / Gantt, Trey / Pringle, Ryne</t>
  </si>
  <si>
    <t>Kim, Stephen / MacFarlane, Kevin / Sifferman, Greg</t>
  </si>
  <si>
    <t>Bucher, James / Harrell, Don / Houvener, Tom</t>
  </si>
  <si>
    <t>Gold - Men</t>
  </si>
  <si>
    <t>Clements, John / Jaworski, Jay / Wade, Chip</t>
  </si>
  <si>
    <t>Chandler, Bob / Costa, Joey / Watson, Ian</t>
  </si>
  <si>
    <t>Ko, Supin / Loseno, David / Robertson, Stuart</t>
  </si>
  <si>
    <t>Nugent, Douglas / Polen, Brett / Stutzenberger, Matthew</t>
  </si>
  <si>
    <t>Bernard, Michael / Harrell, Don / Houvener, Tom</t>
  </si>
  <si>
    <t>Bradshaw, Dean / Costa, Joey / Watson, Ian</t>
  </si>
  <si>
    <t>Kiehn, Kurt / Wattula, Mel</t>
  </si>
  <si>
    <t>Bickford, Jim / Jaworski, Jay / Wade, Chip</t>
  </si>
  <si>
    <t>Bradshaw, Dean / Chandler, Bob / Watson, Ian</t>
  </si>
  <si>
    <t>Dickhoff, Walt / Jones, Doug / Osuga, Yasuhisa</t>
  </si>
  <si>
    <t>Dickhoff, Mark / Jones, Doug / Osuga, Yasuhisa</t>
  </si>
  <si>
    <t>Nelson, Rick / Webster, McGhee</t>
  </si>
  <si>
    <t>Haukap, Dan / Maloney, Larry / Wallace, Vince</t>
  </si>
  <si>
    <t>Kudrna, Darin / Lewis, Mitch / O'Brien, Dave</t>
  </si>
  <si>
    <t>Gabler, Jon / Lee, Daniel / Ohrenschall, Mark</t>
  </si>
  <si>
    <t>Foreman, David / Lee, Daniel / Ohrenschall, Mark</t>
  </si>
  <si>
    <t>Hancock, Tyler / Mardesich, Mike / Pasion, Lloyd</t>
  </si>
  <si>
    <t>Gross, Robert / Mardesich, Mike / Pasion, Lloyd</t>
  </si>
  <si>
    <t>Bernard, Michael / Bucher, James / Houvener, Tom</t>
  </si>
  <si>
    <t>Elsner, Frank / Maloney, Larry / Wallace, Vince</t>
  </si>
  <si>
    <t>Bernard, Michael / Bucher, James / Harrell, Don</t>
  </si>
  <si>
    <t>Bickford, Jim / Clements, John / Wade, Chip</t>
  </si>
  <si>
    <t>Brown, Roger / Mueller, Dennis / Schoening, Jeffrey</t>
  </si>
  <si>
    <t>Dickhoff, Mark / Dickhoff, Walt / Osuga, Yasuhisa</t>
  </si>
  <si>
    <t>Jones, Travis / Puetz, Dan / Rovig, Ted</t>
  </si>
  <si>
    <t>Jones, Lee / Puetz, Dan / Rovig, Ted</t>
  </si>
  <si>
    <t>Clark, Jay / Wattula, Mel</t>
  </si>
  <si>
    <t>Asplund, Brian / MacFarlane, Kevin / Sifferman, Greg</t>
  </si>
  <si>
    <t>Branley, Dan / Loseno, David / Robertson, Stuart</t>
  </si>
  <si>
    <t>Eseman, Connelly / Lewis, Mitch / O'Brien, Dave</t>
  </si>
  <si>
    <t>Foreman, David / Gabler, Jon / Ohrenschall, Mark</t>
  </si>
  <si>
    <t>Eseman, Connelly / Kudrna, Darin / O'Brien, Dave</t>
  </si>
  <si>
    <t>Branley, Dan / Ko, Supin / Robertson, Stuart</t>
  </si>
  <si>
    <t>Asplund, Brian / Kim, Stephen / Sifferman, Greg</t>
  </si>
  <si>
    <t>Elsner, Frank / Haukap, Dan / Wallace, Vince</t>
  </si>
  <si>
    <t>Gross, Robert / Hancock, Tyler / Pasion, Lloyd</t>
  </si>
  <si>
    <t>Richter, Bill / Smith, Ken / Wang, James</t>
  </si>
  <si>
    <t>Brown, Roger / Johnson, Reed / Schoening, Jeffrey</t>
  </si>
  <si>
    <t>Dillard, Spencer / Webster, McGhee</t>
  </si>
  <si>
    <t>Bresnahan, Jacob / Polen, Brett / Stutzenberger, Matthew</t>
  </si>
  <si>
    <t>Eseman, Connelly / Kudrna, Darin / Lewis, Mitch</t>
  </si>
  <si>
    <t>Foreman, David / Gabler, Jon / Lee, Daniel</t>
  </si>
  <si>
    <t>Dickhoff, Mark / Dickhoff, Walt / Jones, Doug</t>
  </si>
  <si>
    <t>Gross, Robert / Hancock, Tyler / Mardesich, Mike</t>
  </si>
  <si>
    <t>Bresnahan, Jacob / Nugent, Douglas / Stutzenberger, Matthew</t>
  </si>
  <si>
    <t>Jones, Lee / Jones, Travis / Rovig, Ted</t>
  </si>
  <si>
    <t>McShane, Daniel / Smith, Ken / Wang, James</t>
  </si>
  <si>
    <t>Branley, Dan / Ko, Supin / Loseno, David</t>
  </si>
  <si>
    <t>Jones, Lee / Jones, Travis / Puetz, Dan</t>
  </si>
  <si>
    <t>Brown, Roger / Johnson, Reed / Mueller, Dennis</t>
  </si>
  <si>
    <t>Asplund, Brian / Kim, Stephen / MacFarlane, Kevin</t>
  </si>
  <si>
    <t>McShane, Daniel / Richter, Bill / Wang, James</t>
  </si>
  <si>
    <t>Bresnahan, Jacob / Nugent, Douglas / Polen, Brett</t>
  </si>
  <si>
    <t>Bickford, Jim / Clements, John / Jaworski, Jay</t>
  </si>
  <si>
    <t>Elsner, Frank / Haukap, Dan / Maloney, Larry</t>
  </si>
  <si>
    <t>McShane, Daniel / Richter, Bill / Smith, Ken</t>
  </si>
  <si>
    <t>Bradshaw, Dean / Chandler, Bob / Costa, Joey</t>
  </si>
  <si>
    <t>Clark, Jay / Kiehn, Kurt</t>
  </si>
  <si>
    <t>Dillard, Spencer / Nelson, Rick</t>
  </si>
  <si>
    <t>Markwardt , Robert</t>
  </si>
  <si>
    <t>in master?</t>
  </si>
  <si>
    <t>Rowe, Tim / Horan, Dan / Fabela, Dan</t>
  </si>
  <si>
    <t>Dillard, Spencer / Kim, Stephen / Loseno, David</t>
  </si>
  <si>
    <t>Brauer, Andrew / Maloney, Larry / Moghimi, Mozie</t>
  </si>
  <si>
    <t>Evans, Jesse / McDonald IV, Harry / McDonald, Harry</t>
  </si>
  <si>
    <t>Bucher, James / Gabler, Jon / Whelan, Jack</t>
  </si>
  <si>
    <t>Becker, Marty / Maloney, Larry / Moghimi, Mozie</t>
  </si>
  <si>
    <t>Bowen, Brock / Gabler, Jon / Whelan, Jack</t>
  </si>
  <si>
    <t>Gross, Robert / Ko, Supin / Sundin, Kellen</t>
  </si>
  <si>
    <t>Dickhoff, Walt / Kim, Justin / Sena-Hopkins, Nick</t>
  </si>
  <si>
    <t>Dickhoff, Mark / Kim, Justin / Sena-Hopkins, Nick</t>
  </si>
  <si>
    <t>Asplund, Brian / Kim, Stephen / Loseno, David</t>
  </si>
  <si>
    <t>Elsner, Frank / Haukap, Dan / Lund, Evan</t>
  </si>
  <si>
    <t>Ecton, Nick / Haukap, Dan / Lund, Evan</t>
  </si>
  <si>
    <t>Botkins, Joseph / McDonald IV, Harry / McDonald, Harry</t>
  </si>
  <si>
    <t>Rowe, Tim / Horan, Dan / Anderson, Dale</t>
  </si>
  <si>
    <t>Kruiniger, Justin / Rockey, Cory / Watson, Ian</t>
  </si>
  <si>
    <t>Jones, Lee / Jones, Travis / Martinez, Sam</t>
  </si>
  <si>
    <t>Bowen, Brock / Bucher, James / Whelan, Jack</t>
  </si>
  <si>
    <t>Cunningham, Chris / Ko, Supin / Sundin, Kellen</t>
  </si>
  <si>
    <t>Johnson, Richard / Leboa, Carl / Peterson, Bruce</t>
  </si>
  <si>
    <t>Ecton, Nick / Elsner, Frank / Lund, Evan</t>
  </si>
  <si>
    <t>Anderson, Dale / Fabela, Dan / Rowe, Tim</t>
  </si>
  <si>
    <t>Harrell, Don / Leboa, Carl / Peterson, Bruce</t>
  </si>
  <si>
    <t>Kiehn, Kurt / Olin, Randy / Wattula, Mel</t>
  </si>
  <si>
    <t>Franti, John / Jones, Travis / Martinez, Sam</t>
  </si>
  <si>
    <t>Franti, John / Jones, Lee / Martinez, Sam</t>
  </si>
  <si>
    <t>Jones, Doug / Olin, Randy / Wattula, Mel</t>
  </si>
  <si>
    <t>Dickhoff, Mark / Dickhoff, Walt / Sena-Hopkins, Nick</t>
  </si>
  <si>
    <t>Asplund, Brian / Dillard, Spencer / Loseno, David</t>
  </si>
  <si>
    <t>Cunningham, Chris / Gross, Robert / Sundin, Kellen</t>
  </si>
  <si>
    <t>Fox, Edwin / Rockey, Cory / Watson, Ian</t>
  </si>
  <si>
    <t>Harrell, Don / Johnson, Richard / Peterson, Bruce</t>
  </si>
  <si>
    <t>Asplund, Brian / Dillard, Spencer / Kim, Stephen</t>
  </si>
  <si>
    <t>Ecton, Nick / Elsner, Frank / Haukap, Dan</t>
  </si>
  <si>
    <t>Becker, Marty / Brauer, Andrew / Moghimi, Mozie</t>
  </si>
  <si>
    <t>Pope, Dave / Porter, Thomas / Pringle, Ryne</t>
  </si>
  <si>
    <t>Franti, John / Jones, Lee / Jones, Travis</t>
  </si>
  <si>
    <t>Botkins, Joseph / Evans, Jesse / McDonald, Harry</t>
  </si>
  <si>
    <t>Botkins, Joseph / Evans, Jesse / McDonald IV, Harry</t>
  </si>
  <si>
    <t>Smith, Ken / Wang, James / Zhang, Bochao</t>
  </si>
  <si>
    <t>Beyer, Matthew / Niemeyer, Christopher / Wilson, Patrick</t>
  </si>
  <si>
    <t>Becker, Marty / Brauer, Andrew / Maloney, Larry</t>
  </si>
  <si>
    <t>Beyer, Matthew / Michaelis, Cory / Wilson, Patrick</t>
  </si>
  <si>
    <t>Jones, Doug / Kiehn, Kurt / Wattula, Mel</t>
  </si>
  <si>
    <t>Harrell, Don / Johnson, Richard / Leboa, Carl</t>
  </si>
  <si>
    <t>Mardesich, Mike / Porter, Thomas / Pringle, Ryne</t>
  </si>
  <si>
    <t>Mardesich, Mike / Pope, Dave / Pringle, Ryne</t>
  </si>
  <si>
    <t>Mardesich, Mike / Pope, Dave / Porter, Thomas</t>
  </si>
  <si>
    <t>Fox, Edwin / Kruiniger, Justin / Watson, Ian</t>
  </si>
  <si>
    <t>Fabela, Dan / Anderson, Dale / Horan, Dan</t>
  </si>
  <si>
    <t>Dickhoff, Mark / Dickhoff, Walt / Kim, Justin</t>
  </si>
  <si>
    <t>McShane, Daniel / Wang, James / Zhang, Bochao</t>
  </si>
  <si>
    <t>Cunningham, Chris / Gross, Robert / Ko, Supin</t>
  </si>
  <si>
    <t>McShane, Daniel / Smith, Ken / Zhang, Bochao</t>
  </si>
  <si>
    <t>Fox, Edwin / Kruiniger, Justin / Rockey, Cory</t>
  </si>
  <si>
    <t>Jones, Doug / Kiehn, Kurt / Olin, Randy</t>
  </si>
  <si>
    <t>Bowen, Brock / Bucher, James / Gabler, Jon</t>
  </si>
  <si>
    <t>Osuga, Yasuhisa / Wang, James / Zhang, Bochao</t>
  </si>
  <si>
    <t>Bickford, Jim / Clark, Jay / Olin, Randy</t>
  </si>
  <si>
    <t>Dillard, Spencer / Harrell, Don / Leboa, Carl</t>
  </si>
  <si>
    <t>Bade, Michael / Clark, Jay / Olin, Randy</t>
  </si>
  <si>
    <t>Costa, Joey / Kruiniger, Justin / Watson, Ian</t>
  </si>
  <si>
    <t>Botkins, Joseph / Bowen, Brock / Gabler, Jon</t>
  </si>
  <si>
    <t>Luu, Van / Niemeyer, Christopher / Rockey, Shawn</t>
  </si>
  <si>
    <t>Bade, Michael / Bickford, Jim / Olin, Randy</t>
  </si>
  <si>
    <t>Coghill, Ryan / Cook, Larry / Puetz, Dan</t>
  </si>
  <si>
    <t>Cook, Larry</t>
  </si>
  <si>
    <t>Clements, John / Coghill, Ryan / Puetz, Dan</t>
  </si>
  <si>
    <t>Bradshaw, Dean / Kruiniger, Justin / Watson, Ian</t>
  </si>
  <si>
    <t>Dickhoff, Walt / Hom, Tom / Loseno, David</t>
  </si>
  <si>
    <t>Dickhoff, Mark / Hom, Tom / Loseno, David</t>
  </si>
  <si>
    <t>Bergeson, Jordan / Gantt, Trey / Larson, Brian</t>
  </si>
  <si>
    <t>Lund, Evan / Nelson, Rick / Turner, Benjamin</t>
  </si>
  <si>
    <t>Kudrna, Darin / McShane, Daniel / Smith, Ken</t>
  </si>
  <si>
    <t>Sebastian, Steve / Swick, Reid / Wistrom, Tim</t>
  </si>
  <si>
    <t>Beyer, Matthew / Fox, Edwin / Rockey, Cory</t>
  </si>
  <si>
    <t>Beyer, Matthew / Fleming, Damon / Rockey, Cory</t>
  </si>
  <si>
    <t>Martinez, Sam / Mietzner, Jeffrey / Persinger, Mark</t>
  </si>
  <si>
    <t>Botkins, Joseph / Bowen, Brock / Bucher, James</t>
  </si>
  <si>
    <t>Bergeson, Jordan / Dodgion, Brad / Larson, Brian</t>
  </si>
  <si>
    <t>Bernard, Michael / Dillard, Spencer / Leboa, Carl</t>
  </si>
  <si>
    <t>Dickhoff, Mark / Dickhoff, Walt / Loseno, David</t>
  </si>
  <si>
    <t>Mueller, Dennis / Rutz, Oliver / Schoening, Jeffrey</t>
  </si>
  <si>
    <t>Jones, Travis / Puetz, Dan Jr / Puetz, Joe1</t>
  </si>
  <si>
    <t>Jones, Lee / Puetz, Dan Jr / Puetz, Joe1</t>
  </si>
  <si>
    <t>Sifferman, Greg / Sifferman, Zach / Stutzenberger, Matthew</t>
  </si>
  <si>
    <t>Bergeson, Jordan / Dodgion, Brad / Gantt, Trey</t>
  </si>
  <si>
    <t>Bernard, Michael / Dillard, Spencer / Harrell, Don</t>
  </si>
  <si>
    <t>Dickhoff, Mark / Dickhoff, Walt / Hom, Tom</t>
  </si>
  <si>
    <t>Ecton, Nick / Nelson, Rick / Turner, Benjamin</t>
  </si>
  <si>
    <t>Caraveo, Lonnie / Niemeyer, Christopher / Rockey, Shawn</t>
  </si>
  <si>
    <t>Markwardt , Robert / O'Brien, Dave / Wallace, Vince</t>
  </si>
  <si>
    <t>Mardesich, Mike / O'Brien, Dave / Wallace, Vince</t>
  </si>
  <si>
    <t>Franti, John / Mietzner, Jeffrey / Persinger, Mark</t>
  </si>
  <si>
    <t>Franti, John / Martinez, Sam / Persinger, Mark</t>
  </si>
  <si>
    <t>Caraveo, Lonnie / Luu, Van / Rockey, Shawn</t>
  </si>
  <si>
    <t>Mardesich, Mike / Markwardt , Robert / Wallace, Vince</t>
  </si>
  <si>
    <t>Bade, Michael / Bickford, Jim / Clark, Jay</t>
  </si>
  <si>
    <t>Asplund, Brian / Wang, James / Zhang, Bochao</t>
  </si>
  <si>
    <t>Franti, John / Martinez, Sam / Mietzner, Jeffrey</t>
  </si>
  <si>
    <t>Clements, John / Coghill, Ryan / Cook, Larry</t>
  </si>
  <si>
    <t>Jones, Lee / Jones, Travis / Puetz, Joe1</t>
  </si>
  <si>
    <t>Puetz, Joe1</t>
  </si>
  <si>
    <t>Jones, Lee / Jones, Travis / Puetz, Dan Jr</t>
  </si>
  <si>
    <t>Beyer, Matthew / Fleming, Damon / Fox, Edwin</t>
  </si>
  <si>
    <t>Caraveo, Lonnie / Luu, Van / Niemeyer, Christopher</t>
  </si>
  <si>
    <t>Johnson, Reed / Mueller, Dennis / Rutz, Oliver</t>
  </si>
  <si>
    <t>Fabela, Dan / Swick, Reid / Wistrom, Tim</t>
  </si>
  <si>
    <t>Kiehn, Kurt / Sifferman, Zach / Stutzenberger, Matthew</t>
  </si>
  <si>
    <t>Kiehn, Kurt / Sifferman, Greg / Stutzenberger, Matthew</t>
  </si>
  <si>
    <t>Eseman, Connelly / Kudrna, Darin / McShane, Daniel</t>
  </si>
  <si>
    <t>Fabela, Dan / Sebastian, Steve / Wistrom, Tim</t>
  </si>
  <si>
    <t>Mardesich, Mike / Markwardt , Robert / O'Brien, Dave</t>
  </si>
  <si>
    <t>Asplund, Brian / Osuga, Yasuhisa / Zhang, Bochao</t>
  </si>
  <si>
    <t>Bradshaw, Dean / Costa, Joey / Kruiniger, Justin</t>
  </si>
  <si>
    <t>Asplund, Brian / Osuga, Yasuhisa / Wang, James</t>
  </si>
  <si>
    <t>Following players delayed1</t>
  </si>
  <si>
    <t>Following players delayed2</t>
  </si>
  <si>
    <t>Following players delayed3</t>
  </si>
  <si>
    <t>Following players delayed4</t>
  </si>
  <si>
    <t>Following players delayed5</t>
  </si>
  <si>
    <t>following player delay - HH:MM</t>
  </si>
  <si>
    <t>group size</t>
  </si>
  <si>
    <t>group size2</t>
  </si>
  <si>
    <t>group size3</t>
  </si>
  <si>
    <t>group size4</t>
  </si>
  <si>
    <t>group size5</t>
  </si>
  <si>
    <t>standard round time</t>
  </si>
  <si>
    <t>Polen, Brett / Robel, Hans / Schwartz, Trent</t>
  </si>
  <si>
    <t>Following players delayed6</t>
  </si>
  <si>
    <t>group size6</t>
  </si>
  <si>
    <t>followers6</t>
  </si>
  <si>
    <t>tee time6</t>
  </si>
  <si>
    <t>round6</t>
  </si>
  <si>
    <t>gap6</t>
  </si>
  <si>
    <t>Foreman, David / Kim, Stephen / Thorson, Thomas</t>
  </si>
  <si>
    <t>Harrell, Don / Leboa, Carl / Lopez, Joseph</t>
  </si>
  <si>
    <t>Bucher, James / Gabler, Jon / Huston, Marshall</t>
  </si>
  <si>
    <t>Johnson, Reed / Lipe, Matthew / Schoening, Jeffrey</t>
  </si>
  <si>
    <t>Bowen, Brock / Gabler, Jon / Huston, Marshall</t>
  </si>
  <si>
    <t>Byszeski, Chris</t>
  </si>
  <si>
    <t>Hartley, Jack / Rutz, Oliver</t>
  </si>
  <si>
    <t>Nelson, Rick / Ohrenschall, Mark / Olin, Randy</t>
  </si>
  <si>
    <t>Dickhoff, Walt / Jones, Lee / Jones, Travis</t>
  </si>
  <si>
    <t>Dickhoff, Mark / Jones, Lee / Jones, Travis</t>
  </si>
  <si>
    <t>Lund, Evan / Markwardt , Robert / Stutzenberger, Matthew</t>
  </si>
  <si>
    <t>McShane, Daniel / Parsons, Cole / Smith, Ken</t>
  </si>
  <si>
    <t>Porter, Thomas / Pringle, Ryne / Rowe, Tim</t>
  </si>
  <si>
    <t>Gahan, Andrew / Larson, Brian / Petersen, Nicolai</t>
  </si>
  <si>
    <t>Asplund, Brian / Kim, Stephen / Thorson, Thomas</t>
  </si>
  <si>
    <t>Niemeyer, Christopher / Rockey, Cory / Wilson, Patrick</t>
  </si>
  <si>
    <t>Bowen, Brock / Bucher, James / Huston, Marshall</t>
  </si>
  <si>
    <t>Fleming, Damon / Larson, Brian / Petersen, Nicolai</t>
  </si>
  <si>
    <t>Bernard, Michael / Leboa, Carl / Lopez, Joseph</t>
  </si>
  <si>
    <t>Byszeski, Chris / Rutz, Oliver</t>
  </si>
  <si>
    <t>Kim, Justin / Osuga, Yasuhisa / Wattula, Mel</t>
  </si>
  <si>
    <t>Huston, Marshall</t>
  </si>
  <si>
    <t>Brown, Roger / Lipe, Matthew / Schoening, Jeffrey</t>
  </si>
  <si>
    <t>Dickhoff, Mark / Dickhoff, Walt / Jones, Travis</t>
  </si>
  <si>
    <t>Dickhoff, Mark / Dickhoff, Walt / Jones, Lee</t>
  </si>
  <si>
    <t>Hom, Tom / Osuga, Yasuhisa / Wattula, Mel</t>
  </si>
  <si>
    <t>Asplund, Brian / Foreman, David / Thorson, Thomas</t>
  </si>
  <si>
    <t>Fleming, Damon / Gahan, Andrew / Petersen, Nicolai</t>
  </si>
  <si>
    <t>Bernard, Michael / Harrell, Don / Lopez, Joseph</t>
  </si>
  <si>
    <t>Ecton, Nick / Markwardt , Robert / Stutzenberger, Matthew</t>
  </si>
  <si>
    <t>Ecton, Nick / Lund, Evan / Stutzenberger, Matthew</t>
  </si>
  <si>
    <t>Eseman, Connelly / Parsons, Cole / Smith, Ken</t>
  </si>
  <si>
    <t>Persinger, Dale / Persinger, Mark</t>
  </si>
  <si>
    <t>Clark, Jay / Ohrenschall, Mark / Olin, Randy</t>
  </si>
  <si>
    <t>Fox, Edwin / Rockey, Cory / Wilson, Patrick</t>
  </si>
  <si>
    <t>Clark, Jay / Nelson, Rick / Olin, Randy</t>
  </si>
  <si>
    <t>Clark, Jay / Nelson, Rick / Ohrenschall, Mark</t>
  </si>
  <si>
    <t>Hom, Tom / Kim, Justin / Wattula, Mel</t>
  </si>
  <si>
    <t>Eseman, Connelly / McShane, Daniel / Smith, Ken</t>
  </si>
  <si>
    <t>Persinger, Dale</t>
  </si>
  <si>
    <t>Mietzner, Jeffrey / Persinger, Mark</t>
  </si>
  <si>
    <t>Mietzner, Jeffrey / Persinger, Dale</t>
  </si>
  <si>
    <t>Fleming, Damon / Gahan, Andrew / Larson, Brian</t>
  </si>
  <si>
    <t>Fabela, Dan / Pringle, Ryne / Rowe, Tim</t>
  </si>
  <si>
    <t>Fabela, Dan / Porter, Thomas / Rowe, Tim</t>
  </si>
  <si>
    <t>Sifferman, Greg / Sifferman, Zach</t>
  </si>
  <si>
    <t>Fox, Edwin / Niemeyer, Christopher / Wilson, Patrick</t>
  </si>
  <si>
    <t>Fabela, Dan / Porter, Thomas / Pringle, Ryne</t>
  </si>
  <si>
    <t>Byszeski, Chris / Hartley, Jack</t>
  </si>
  <si>
    <t>Brown, Roger / Johnson, Reed / Lipe, Matthew</t>
  </si>
  <si>
    <t>Robel, Jack / Sifferman, Zach</t>
  </si>
  <si>
    <t>Robel, Jack / Sifferman, Greg</t>
  </si>
  <si>
    <t>Eseman, Connelly / McShane, Daniel / Parsons, Cole</t>
  </si>
  <si>
    <t>Ecton, Nick / Lund, Evan / Markwardt , Robert</t>
  </si>
  <si>
    <t>Asplund, Brian / Foreman, David / Kim, Stephen</t>
  </si>
  <si>
    <t>Hom, Tom / Kim, Justin / Osuga, Yasuhisa</t>
  </si>
  <si>
    <t>Fox, Edwin / Niemeyer, Christopher / Rockey, Cory</t>
  </si>
  <si>
    <t>Stableford</t>
  </si>
  <si>
    <t>Member</t>
  </si>
  <si>
    <t>Turkey Shoot</t>
  </si>
  <si>
    <t>Coles, John-Michael / Johnson, Eddie / Kim, Stephen</t>
  </si>
  <si>
    <t>Markwardt , Robert / Nugent, Douglas / Ohrenschall, Mark</t>
  </si>
  <si>
    <t>Bergeson, Ryan / Fabela, Dan / Rowe, Tim</t>
  </si>
  <si>
    <t>Bergeson, Jordan / Fabela, Dan / Rowe, Tim</t>
  </si>
  <si>
    <t>Fox, Edwin / Harrell, Don / Leboa, Carl</t>
  </si>
  <si>
    <t>Bucher, James / Gabler, Jon</t>
  </si>
  <si>
    <t>Bowen, Brock / Gabler, Jon</t>
  </si>
  <si>
    <t>Olin, Randy / Wattula, Mel</t>
  </si>
  <si>
    <t>Coles, John-Michael</t>
  </si>
  <si>
    <t>Asplund, Brian / Johnson, Eddie / Kim, Stephen</t>
  </si>
  <si>
    <t>Dickhoff, Walt / Hom, Tom / Osuga, Yasuhisa</t>
  </si>
  <si>
    <t>Dickhoff, Mark / Hom, Tom / Osuga, Yasuhisa</t>
  </si>
  <si>
    <t>McShane, Daniel / Smith, Ken / Thorson, Thomas</t>
  </si>
  <si>
    <t>Bergeson, Jordan / Bergeson, Ryan / Rowe, Tim</t>
  </si>
  <si>
    <t>Gahan, Andrew / Hartley, Jack / Petersen, Nicolai</t>
  </si>
  <si>
    <t>Bowen, Brock / Bucher, James</t>
  </si>
  <si>
    <t>Fleming, Damon / Hartley, Jack / Petersen, Nicolai</t>
  </si>
  <si>
    <t>Hancock, Tyler / Ko, Supin / MacFarlane, Kevin</t>
  </si>
  <si>
    <t>Gross, Robert / Ko, Supin / MacFarlane, Kevin</t>
  </si>
  <si>
    <t>Bernard, Michael / Fox, Edwin / Leboa, Carl</t>
  </si>
  <si>
    <t>Asplund, Brian / Coles, John-Michael / Kim, Stephen</t>
  </si>
  <si>
    <t>Mardesich, Mike / Mueller, Dennis / Schoening, Jeffrey</t>
  </si>
  <si>
    <t>Jones, Travis / O'Brien, Dave / Sifferman, Greg</t>
  </si>
  <si>
    <t>Jones, Lee / O'Brien, Dave / Sifferman, Greg</t>
  </si>
  <si>
    <t>Asplund, Brian / Coles, John-Michael / Johnson, Eddie</t>
  </si>
  <si>
    <t>Gross, Robert / Hancock, Tyler / MacFarlane, Kevin</t>
  </si>
  <si>
    <t>Bernard, Michael / Fox, Edwin / Harrell, Don</t>
  </si>
  <si>
    <t>Gross, Robert / Hancock, Tyler / Ko, Supin</t>
  </si>
  <si>
    <t>Bade, Michael / Nugent, Douglas / Ohrenschall, Mark</t>
  </si>
  <si>
    <t>Eseman, Connelly / Smith, Ken / Thorson, Thomas</t>
  </si>
  <si>
    <t>Johnson, Reed / Mardesich, Mike / Schoening, Jeffrey</t>
  </si>
  <si>
    <t>Beyer, Matthew / Rockey, Cory / Wilson, Patrick</t>
  </si>
  <si>
    <t>Bade, Michael / Markwardt , Robert / Ohrenschall, Mark</t>
  </si>
  <si>
    <t>Jones, Lee / Jones, Travis / Sifferman, Greg</t>
  </si>
  <si>
    <t>Bade, Michael / Markwardt , Robert / Nugent, Douglas</t>
  </si>
  <si>
    <t>Fleming, Damon / Gahan, Andrew / Hartley, Jack</t>
  </si>
  <si>
    <t>Bergeson, Jordan / Bergeson, Ryan / Fabela, Dan</t>
  </si>
  <si>
    <t>Johnson, Reed / Mardesich, Mike / Mueller, Dennis</t>
  </si>
  <si>
    <t>Jones, Lee / Jones, Travis / O'Brien, Dave</t>
  </si>
  <si>
    <t>Eseman, Connelly / McShane, Daniel / Thorson, Thomas</t>
  </si>
  <si>
    <t>Clark, Jay / Olin, Randy</t>
  </si>
  <si>
    <t>Beyer, Matthew / Niemeyer, Christopher / Rockey, Cory</t>
  </si>
  <si>
    <t>Following players delayed7</t>
  </si>
  <si>
    <t>group size7</t>
  </si>
  <si>
    <t>followers7</t>
  </si>
  <si>
    <t>round7</t>
  </si>
  <si>
    <t>gap7</t>
  </si>
  <si>
    <t>tee time7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</si>
</sst>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h:mm;@"/>
    <numFmt numFmtId="165" formatCode="0.0"/>
    <numFmt numFmtId="166" formatCode="_(* #,##0_);_(* \(#,##0\);_(* &quot;-&quot;??_);_(@_)"/>
    <numFmt numFmtId="167" formatCode="[h]:mm;@"/>
  </numFmts>
  <fonts count="17" x14ac:knownFonts="1">
    <font>
      <sz val="11"/>
      <color theme="1"/>
      <name val="Calibri"/>
      <family val="2"/>
      <scheme val="minor"/>
    </font>
    <font>
      <b/>
      <sz val="11"/>
      <color theme="1"/>
      <name val="Calibri"/>
      <family val="2"/>
      <scheme val="minor"/>
    </font>
    <font>
      <sz val="10"/>
      <name val="Verdana"/>
      <family val="2"/>
    </font>
    <font>
      <sz val="8"/>
      <name val="Calibri"/>
      <family val="2"/>
      <scheme val="minor"/>
    </font>
    <font>
      <sz val="10"/>
      <name val="Calibri"/>
      <family val="2"/>
      <scheme val="minor"/>
    </font>
    <font>
      <sz val="9"/>
      <color indexed="81"/>
      <name val="Tahoma"/>
      <family val="2"/>
    </font>
    <font>
      <u/>
      <sz val="9"/>
      <color indexed="81"/>
      <name val="Tahoma"/>
      <family val="2"/>
    </font>
    <font>
      <sz val="11"/>
      <color rgb="FF9C0006"/>
      <name val="Calibri"/>
      <family val="2"/>
      <scheme val="minor"/>
    </font>
    <font>
      <sz val="11"/>
      <color rgb="FF000000"/>
      <name val="Calibri"/>
      <family val="2"/>
      <scheme val="minor"/>
    </font>
    <font>
      <b/>
      <sz val="11"/>
      <color rgb="FF000000"/>
      <name val="Calibri"/>
      <family val="2"/>
      <scheme val="minor"/>
    </font>
    <font>
      <sz val="11"/>
      <color theme="1"/>
      <name val="Calibri"/>
      <family val="2"/>
      <scheme val="minor"/>
    </font>
    <font>
      <sz val="11"/>
      <color rgb="FF000000"/>
      <name val="Calibri"/>
      <family val="2"/>
    </font>
    <font>
      <b/>
      <sz val="8"/>
      <color rgb="FF000000"/>
      <name val="Arial"/>
      <family val="2"/>
    </font>
    <font>
      <sz val="8"/>
      <color rgb="FF333333"/>
      <name val="Arial"/>
      <family val="2"/>
    </font>
    <font>
      <b/>
      <sz val="9"/>
      <color indexed="81"/>
      <name val="Tahoma"/>
      <family val="2"/>
    </font>
    <font>
      <b/>
      <sz val="14"/>
      <color theme="1"/>
      <name val="Calibri"/>
      <family val="2"/>
      <scheme val="minor"/>
    </font>
    <font>
      <i/>
      <sz val="9"/>
      <color indexed="81"/>
      <name val="Tahoma"/>
      <family val="2"/>
    </font>
  </fonts>
  <fills count="7">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rgb="FFF9F9F9"/>
        <bgColor indexed="64"/>
      </patternFill>
    </fill>
    <fill>
      <patternFill patternType="solid">
        <fgColor rgb="FFF5F5F5"/>
        <bgColor indexed="64"/>
      </patternFill>
    </fill>
    <fill>
      <patternFill patternType="solid">
        <fgColor rgb="FFFFFFFF"/>
        <bgColor indexed="64"/>
      </patternFill>
    </fill>
  </fills>
  <borders count="7">
    <border>
      <left/>
      <right/>
      <top/>
      <bottom/>
      <diagonal/>
    </border>
    <border>
      <left/>
      <right style="thin">
        <color indexed="64"/>
      </right>
      <top/>
      <bottom/>
      <diagonal/>
    </border>
    <border>
      <left style="thin">
        <color indexed="64"/>
      </left>
      <right/>
      <top/>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diagonal/>
    </border>
    <border>
      <left style="double">
        <color auto="1"/>
      </left>
      <right/>
      <top/>
      <bottom/>
      <diagonal/>
    </border>
    <border>
      <left/>
      <right style="double">
        <color auto="1"/>
      </right>
      <top/>
      <bottom/>
      <diagonal/>
    </border>
  </borders>
  <cellStyleXfs count="3">
    <xf numFmtId="0" fontId="0" fillId="0" borderId="0"/>
    <xf numFmtId="0" fontId="2" fillId="0" borderId="0"/>
    <xf numFmtId="43" fontId="10" fillId="0" borderId="0" applyFont="0" applyFill="0" applyBorder="0" applyAlignment="0" applyProtection="0"/>
  </cellStyleXfs>
  <cellXfs count="110">
    <xf numFmtId="0" fontId="0" fillId="0" borderId="0" xfId="0"/>
    <xf numFmtId="0" fontId="2" fillId="0" borderId="0" xfId="1"/>
    <xf numFmtId="0" fontId="0" fillId="0" borderId="0" xfId="0" applyAlignment="1">
      <alignment horizontal="right"/>
    </xf>
    <xf numFmtId="164" fontId="0" fillId="0" borderId="0" xfId="0" applyNumberFormat="1" applyAlignment="1">
      <alignment horizontal="right"/>
    </xf>
    <xf numFmtId="164" fontId="0" fillId="0" borderId="0" xfId="0" applyNumberFormat="1"/>
    <xf numFmtId="20" fontId="0" fillId="0" borderId="0" xfId="0" applyNumberFormat="1"/>
    <xf numFmtId="0" fontId="1" fillId="0" borderId="0" xfId="0" applyFont="1" applyAlignment="1">
      <alignment horizontal="right"/>
    </xf>
    <xf numFmtId="0" fontId="0" fillId="0" borderId="0" xfId="0" applyFont="1" applyAlignment="1">
      <alignment horizontal="right"/>
    </xf>
    <xf numFmtId="20" fontId="0" fillId="0" borderId="0" xfId="0" applyNumberFormat="1" applyFont="1" applyAlignment="1">
      <alignment horizontal="right"/>
    </xf>
    <xf numFmtId="1" fontId="0" fillId="0" borderId="0" xfId="0" applyNumberFormat="1" applyAlignment="1">
      <alignment horizontal="right"/>
    </xf>
    <xf numFmtId="164" fontId="0" fillId="0" borderId="0" xfId="0" applyNumberFormat="1" applyAlignment="1">
      <alignment horizontal="left"/>
    </xf>
    <xf numFmtId="164" fontId="4" fillId="0" borderId="0" xfId="1" applyNumberFormat="1" applyFont="1"/>
    <xf numFmtId="164" fontId="4" fillId="0" borderId="0" xfId="1" applyNumberFormat="1" applyFont="1" applyBorder="1"/>
    <xf numFmtId="164" fontId="0" fillId="0" borderId="0" xfId="0" applyNumberFormat="1" applyBorder="1"/>
    <xf numFmtId="164" fontId="0" fillId="0" borderId="0" xfId="0" applyNumberFormat="1" applyAlignment="1">
      <alignment horizontal="center"/>
    </xf>
    <xf numFmtId="0" fontId="0" fillId="0" borderId="0" xfId="0" applyAlignment="1">
      <alignment horizontal="right" wrapText="1"/>
    </xf>
    <xf numFmtId="0" fontId="2" fillId="0" borderId="0" xfId="0" applyNumberFormat="1" applyFont="1" applyFill="1" applyBorder="1" applyAlignment="1" applyProtection="1"/>
    <xf numFmtId="164" fontId="4" fillId="0" borderId="0" xfId="0" applyNumberFormat="1" applyFont="1" applyFill="1" applyBorder="1" applyAlignment="1" applyProtection="1"/>
    <xf numFmtId="165" fontId="2" fillId="0" borderId="0" xfId="0" applyNumberFormat="1" applyFont="1" applyFill="1" applyBorder="1" applyAlignment="1" applyProtection="1">
      <alignment horizontal="right"/>
    </xf>
    <xf numFmtId="165" fontId="2" fillId="0" borderId="0" xfId="1" applyNumberFormat="1" applyAlignment="1">
      <alignment horizontal="right"/>
    </xf>
    <xf numFmtId="0" fontId="1" fillId="0" borderId="0" xfId="0" applyFont="1" applyAlignment="1">
      <alignment horizontal="right" wrapText="1"/>
    </xf>
    <xf numFmtId="0" fontId="1" fillId="2" borderId="0" xfId="0" applyFont="1" applyFill="1" applyAlignment="1">
      <alignment horizontal="right" wrapText="1"/>
    </xf>
    <xf numFmtId="0" fontId="0" fillId="2" borderId="0" xfId="0" applyFill="1"/>
    <xf numFmtId="0" fontId="0" fillId="0" borderId="2" xfId="0" applyBorder="1"/>
    <xf numFmtId="0" fontId="0" fillId="0" borderId="2" xfId="0" applyBorder="1" applyAlignment="1">
      <alignment horizontal="right"/>
    </xf>
    <xf numFmtId="1" fontId="0" fillId="0" borderId="0" xfId="0" applyNumberFormat="1"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 fillId="0" borderId="0" xfId="1" applyNumberFormat="1" applyFill="1"/>
    <xf numFmtId="165" fontId="2" fillId="0" borderId="0" xfId="1" applyNumberFormat="1" applyFill="1" applyAlignment="1">
      <alignment horizontal="right"/>
    </xf>
    <xf numFmtId="164" fontId="4" fillId="0" borderId="0" xfId="1" applyNumberFormat="1" applyFont="1" applyFill="1"/>
    <xf numFmtId="1" fontId="0" fillId="0" borderId="0" xfId="0" applyNumberFormat="1" applyAlignment="1">
      <alignment horizontal="left" wrapText="1"/>
    </xf>
    <xf numFmtId="164" fontId="0" fillId="0" borderId="2" xfId="0" applyNumberFormat="1" applyBorder="1"/>
    <xf numFmtId="1" fontId="0" fillId="0" borderId="0" xfId="0" applyNumberFormat="1"/>
    <xf numFmtId="1" fontId="2" fillId="0" borderId="0" xfId="1" applyNumberFormat="1" applyFill="1"/>
    <xf numFmtId="1" fontId="2" fillId="0" borderId="0" xfId="0" applyNumberFormat="1" applyFont="1" applyFill="1" applyBorder="1" applyAlignment="1" applyProtection="1"/>
    <xf numFmtId="0" fontId="8" fillId="0" borderId="0" xfId="0" applyFont="1" applyAlignment="1">
      <alignment horizontal="center" vertical="center"/>
    </xf>
    <xf numFmtId="1" fontId="8" fillId="0" borderId="0" xfId="0" applyNumberFormat="1" applyFont="1" applyAlignment="1">
      <alignment horizontal="center" vertical="center"/>
    </xf>
    <xf numFmtId="20" fontId="8" fillId="0" borderId="0" xfId="0" applyNumberFormat="1" applyFont="1" applyAlignment="1">
      <alignment horizontal="center" vertical="center"/>
    </xf>
    <xf numFmtId="20" fontId="7" fillId="3" borderId="0" xfId="0" applyNumberFormat="1" applyFont="1" applyFill="1" applyAlignment="1">
      <alignment horizontal="center" vertical="center"/>
    </xf>
    <xf numFmtId="14" fontId="9" fillId="0" borderId="0" xfId="0" applyNumberFormat="1" applyFont="1" applyAlignment="1">
      <alignment horizontal="center" vertical="center"/>
    </xf>
    <xf numFmtId="14" fontId="9" fillId="0" borderId="0" xfId="0" applyNumberFormat="1" applyFont="1" applyAlignment="1">
      <alignment vertical="center"/>
    </xf>
    <xf numFmtId="0" fontId="1" fillId="0" borderId="0" xfId="0" applyFont="1"/>
    <xf numFmtId="20" fontId="11" fillId="0" borderId="0" xfId="0" applyNumberFormat="1" applyFont="1" applyAlignment="1">
      <alignment horizontal="center" vertical="center"/>
    </xf>
    <xf numFmtId="0" fontId="11" fillId="0" borderId="0" xfId="0" applyFont="1" applyAlignment="1">
      <alignment horizontal="center" vertical="center"/>
    </xf>
    <xf numFmtId="14" fontId="8" fillId="0" borderId="0" xfId="0" applyNumberFormat="1" applyFont="1" applyAlignment="1">
      <alignment vertical="center"/>
    </xf>
    <xf numFmtId="0" fontId="12" fillId="0" borderId="3" xfId="0" applyFont="1" applyBorder="1" applyAlignment="1">
      <alignment horizontal="left"/>
    </xf>
    <xf numFmtId="0" fontId="13" fillId="4" borderId="3" xfId="0" applyFont="1" applyFill="1" applyBorder="1" applyAlignment="1">
      <alignment horizontal="left" vertical="top" wrapText="1"/>
    </xf>
    <xf numFmtId="18" fontId="13" fillId="4" borderId="3" xfId="0" applyNumberFormat="1" applyFont="1" applyFill="1" applyBorder="1" applyAlignment="1">
      <alignment horizontal="left" vertical="top" wrapText="1"/>
    </xf>
    <xf numFmtId="0" fontId="13" fillId="0" borderId="3" xfId="0" applyFont="1" applyBorder="1" applyAlignment="1">
      <alignment horizontal="left" vertical="top" wrapText="1"/>
    </xf>
    <xf numFmtId="18" fontId="13" fillId="0" borderId="3" xfId="0" applyNumberFormat="1" applyFont="1" applyBorder="1" applyAlignment="1">
      <alignment horizontal="left" vertical="top" wrapText="1"/>
    </xf>
    <xf numFmtId="0" fontId="13" fillId="5" borderId="3" xfId="0" applyFont="1" applyFill="1" applyBorder="1" applyAlignment="1">
      <alignment horizontal="left" vertical="top" wrapText="1"/>
    </xf>
    <xf numFmtId="18" fontId="13" fillId="5" borderId="3" xfId="0" applyNumberFormat="1" applyFont="1" applyFill="1" applyBorder="1" applyAlignment="1">
      <alignment horizontal="left" vertical="top" wrapText="1"/>
    </xf>
    <xf numFmtId="0" fontId="12" fillId="0" borderId="4" xfId="0" applyFont="1" applyBorder="1" applyAlignment="1">
      <alignment horizontal="left"/>
    </xf>
    <xf numFmtId="1" fontId="0" fillId="0" borderId="0" xfId="0" applyNumberFormat="1" applyAlignment="1">
      <alignment horizontal="left"/>
    </xf>
    <xf numFmtId="0" fontId="0" fillId="0" borderId="0" xfId="0" applyAlignment="1">
      <alignment horizontal="left"/>
    </xf>
    <xf numFmtId="0" fontId="0" fillId="0" borderId="0" xfId="0" applyFont="1" applyAlignment="1">
      <alignment horizontal="left" wrapText="1"/>
    </xf>
    <xf numFmtId="1" fontId="0" fillId="0" borderId="2" xfId="0" applyNumberFormat="1" applyBorder="1" applyAlignment="1">
      <alignment horizontal="left" wrapText="1"/>
    </xf>
    <xf numFmtId="166" fontId="0" fillId="0" borderId="0" xfId="2" applyNumberFormat="1" applyFont="1" applyAlignment="1">
      <alignment horizontal="left" wrapText="1"/>
    </xf>
    <xf numFmtId="166" fontId="0" fillId="0" borderId="0" xfId="2" applyNumberFormat="1" applyFont="1"/>
    <xf numFmtId="166" fontId="0" fillId="0" borderId="0" xfId="2" applyNumberFormat="1" applyFont="1" applyAlignment="1">
      <alignment horizontal="right"/>
    </xf>
    <xf numFmtId="166" fontId="0" fillId="0" borderId="0" xfId="0" applyNumberFormat="1" applyFont="1" applyAlignment="1">
      <alignment horizontal="right"/>
    </xf>
    <xf numFmtId="164" fontId="0" fillId="0" borderId="2" xfId="0" applyNumberFormat="1" applyBorder="1" applyAlignment="1">
      <alignment horizontal="left" wrapText="1"/>
    </xf>
    <xf numFmtId="164" fontId="2" fillId="0" borderId="2" xfId="1" applyNumberFormat="1" applyFill="1" applyBorder="1"/>
    <xf numFmtId="164" fontId="4" fillId="0" borderId="0" xfId="1" applyNumberFormat="1" applyFont="1" applyFill="1" applyBorder="1"/>
    <xf numFmtId="164" fontId="0" fillId="0" borderId="0" xfId="0" applyNumberFormat="1" applyBorder="1" applyAlignment="1">
      <alignment horizontal="right"/>
    </xf>
    <xf numFmtId="164" fontId="0" fillId="0" borderId="2" xfId="0" applyNumberFormat="1" applyBorder="1" applyAlignment="1">
      <alignment horizontal="right"/>
    </xf>
    <xf numFmtId="167" fontId="0" fillId="0" borderId="0" xfId="0" applyNumberFormat="1" applyBorder="1" applyAlignment="1">
      <alignment horizontal="left" wrapText="1"/>
    </xf>
    <xf numFmtId="167" fontId="4" fillId="0" borderId="0" xfId="1" applyNumberFormat="1" applyFont="1" applyBorder="1"/>
    <xf numFmtId="167" fontId="0" fillId="0" borderId="0" xfId="0" applyNumberFormat="1" applyBorder="1"/>
    <xf numFmtId="167" fontId="0" fillId="0" borderId="0" xfId="0" applyNumberFormat="1" applyAlignment="1">
      <alignment horizontal="right"/>
    </xf>
    <xf numFmtId="1" fontId="0" fillId="0" borderId="5" xfId="0" applyNumberFormat="1" applyBorder="1" applyAlignment="1">
      <alignment horizontal="right"/>
    </xf>
    <xf numFmtId="0" fontId="0" fillId="0" borderId="5" xfId="0" applyNumberFormat="1" applyBorder="1"/>
    <xf numFmtId="0" fontId="0" fillId="0" borderId="5" xfId="0" applyBorder="1"/>
    <xf numFmtId="0" fontId="2" fillId="0" borderId="0" xfId="0" applyNumberFormat="1" applyFont="1" applyFill="1" applyBorder="1" applyAlignment="1" applyProtection="1">
      <alignment horizontal="left"/>
    </xf>
    <xf numFmtId="164" fontId="0" fillId="0" borderId="0" xfId="0" applyNumberFormat="1" applyBorder="1" applyAlignment="1">
      <alignment horizontal="left" wrapText="1"/>
    </xf>
    <xf numFmtId="0" fontId="0" fillId="0" borderId="0" xfId="0" applyBorder="1"/>
    <xf numFmtId="1" fontId="0" fillId="0" borderId="2" xfId="0" applyNumberFormat="1" applyBorder="1"/>
    <xf numFmtId="0" fontId="0" fillId="0" borderId="0" xfId="0" applyBorder="1" applyAlignment="1">
      <alignment horizontal="right"/>
    </xf>
    <xf numFmtId="0" fontId="0" fillId="0" borderId="0" xfId="0" applyBorder="1" applyAlignment="1">
      <alignment horizontal="left"/>
    </xf>
    <xf numFmtId="1" fontId="0" fillId="0" borderId="0" xfId="0" applyNumberFormat="1" applyBorder="1"/>
    <xf numFmtId="167" fontId="0" fillId="0" borderId="0" xfId="0" applyNumberFormat="1" applyBorder="1" applyAlignment="1">
      <alignment horizontal="right"/>
    </xf>
    <xf numFmtId="1" fontId="0" fillId="0" borderId="0" xfId="0" applyNumberFormat="1" applyBorder="1" applyAlignment="1">
      <alignment horizontal="right"/>
    </xf>
    <xf numFmtId="0" fontId="0" fillId="0" borderId="0" xfId="0"/>
    <xf numFmtId="0" fontId="0" fillId="0" borderId="0" xfId="0"/>
    <xf numFmtId="0" fontId="0" fillId="0" borderId="0" xfId="0"/>
    <xf numFmtId="0" fontId="0" fillId="0" borderId="0" xfId="0" applyNumberFormat="1" applyAlignment="1">
      <alignment horizontal="right"/>
    </xf>
    <xf numFmtId="0" fontId="0" fillId="0" borderId="0" xfId="0"/>
    <xf numFmtId="0" fontId="12" fillId="0" borderId="4" xfId="0" applyFont="1" applyFill="1" applyBorder="1" applyAlignment="1">
      <alignment horizontal="left"/>
    </xf>
    <xf numFmtId="0" fontId="15" fillId="0" borderId="5" xfId="0" applyFont="1" applyBorder="1" applyAlignment="1">
      <alignment horizontal="center" wrapText="1"/>
    </xf>
    <xf numFmtId="0" fontId="15" fillId="0" borderId="0" xfId="0" applyFont="1" applyBorder="1" applyAlignment="1">
      <alignment horizontal="center" wrapText="1"/>
    </xf>
    <xf numFmtId="0" fontId="15" fillId="0" borderId="0" xfId="0" applyFont="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0" xfId="0" applyFont="1" applyBorder="1" applyAlignment="1">
      <alignment horizontal="center"/>
    </xf>
    <xf numFmtId="0" fontId="15" fillId="0" borderId="2" xfId="0" quotePrefix="1" applyFont="1" applyBorder="1" applyAlignment="1">
      <alignment horizontal="center"/>
    </xf>
    <xf numFmtId="0" fontId="15" fillId="0" borderId="0" xfId="0" quotePrefix="1" applyFont="1" applyBorder="1" applyAlignment="1">
      <alignment horizontal="center"/>
    </xf>
    <xf numFmtId="0" fontId="15" fillId="0" borderId="1" xfId="0" quotePrefix="1" applyFont="1" applyBorder="1" applyAlignment="1">
      <alignment horizontal="center"/>
    </xf>
    <xf numFmtId="0" fontId="15" fillId="0" borderId="6" xfId="0" quotePrefix="1" applyFont="1" applyBorder="1" applyAlignment="1">
      <alignment horizontal="center"/>
    </xf>
    <xf numFmtId="0" fontId="15" fillId="0" borderId="5" xfId="0" quotePrefix="1" applyFont="1" applyBorder="1" applyAlignment="1">
      <alignment horizontal="center"/>
    </xf>
    <xf numFmtId="0" fontId="9" fillId="0" borderId="0" xfId="0" applyFont="1" applyAlignment="1">
      <alignment vertical="center"/>
    </xf>
    <xf numFmtId="0" fontId="9" fillId="0" borderId="0" xfId="0" applyFont="1" applyAlignment="1">
      <alignment horizontal="center" vertical="center"/>
    </xf>
    <xf numFmtId="14" fontId="9" fillId="0" borderId="0" xfId="0" quotePrefix="1" applyNumberFormat="1" applyFont="1" applyAlignment="1">
      <alignment horizontal="center" vertical="center"/>
    </xf>
    <xf numFmtId="0" fontId="0" fillId="0" borderId="0" xfId="0"/>
    <xf numFmtId="0" fontId="8" fillId="0" borderId="0" xfId="0" applyFont="1" applyAlignment="1">
      <alignment vertical="center"/>
    </xf>
    <xf numFmtId="20" fontId="11" fillId="6" borderId="0" xfId="0" applyNumberFormat="1" applyFont="1" applyFill="1" applyAlignment="1">
      <alignment horizontal="center" vertical="center"/>
    </xf>
    <xf numFmtId="0" fontId="11" fillId="6" borderId="0" xfId="0" applyFont="1" applyFill="1" applyAlignment="1">
      <alignment horizontal="center" vertical="center"/>
    </xf>
    <xf numFmtId="0" fontId="0" fillId="0" borderId="0" xfId="0" applyBorder="1" applyAlignment="1">
      <alignment horizontal="right" wrapText="1"/>
    </xf>
    <xf numFmtId="1" fontId="0" fillId="0" borderId="0" xfId="0" applyNumberFormat="1" applyBorder="1" applyAlignment="1">
      <alignment horizontal="right" wrapText="1"/>
    </xf>
    <xf numFmtId="167" fontId="0" fillId="0" borderId="2" xfId="0" applyNumberFormat="1" applyBorder="1" applyAlignment="1">
      <alignment horizontal="left" wrapText="1"/>
    </xf>
  </cellXfs>
  <cellStyles count="3">
    <cellStyle name="Comma" xfId="2" builtinId="3"/>
    <cellStyle name="Normal" xfId="0" builtinId="0"/>
    <cellStyle name="Normal 2" xfId="1" xr:uid="{E1FF0F62-F2A2-4862-8608-A3858B7FA328}"/>
  </cellStyles>
  <dxfs count="102">
    <dxf>
      <alignment horizontal="right" vertical="bottom" textRotation="0" wrapText="0" indent="0" justifyLastLine="0" shrinkToFit="0" readingOrder="0"/>
    </dxf>
    <dxf>
      <numFmt numFmtId="167" formatCode="[h]:mm;@"/>
      <border diagonalUp="0" diagonalDown="0" outline="0">
        <left/>
        <right/>
        <top/>
        <bottom/>
      </border>
    </dxf>
    <dxf>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4" formatCode="h:mm;@"/>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4" formatCode="h:mm;@"/>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border diagonalUp="0" diagonalDown="0" outline="0">
        <left style="double">
          <color auto="1"/>
        </left>
        <right/>
        <top/>
        <bottom/>
      </border>
    </dxf>
    <dxf>
      <numFmt numFmtId="167"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dxf>
    <dxf>
      <numFmt numFmtId="167" formatCode="[h]:mm;@"/>
      <alignment horizontal="right" vertical="bottom" textRotation="0" wrapText="0" indent="0" justifyLastLine="0" shrinkToFit="0" readingOrder="0"/>
    </dxf>
    <dxf>
      <numFmt numFmtId="167" formatCode="[h]:mm;@"/>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167"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dxf>
    <dxf>
      <numFmt numFmtId="167" formatCode="[h]:mm;@"/>
      <alignment horizontal="right" vertical="bottom" textRotation="0" wrapText="0" indent="0" justifyLastLine="0" shrinkToFit="0" readingOrder="0"/>
    </dxf>
    <dxf>
      <numFmt numFmtId="167" formatCode="[h]:mm;@"/>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167"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dxf>
    <dxf>
      <alignment horizontal="right" vertical="bottom" textRotation="0" wrapText="0" indent="0" justifyLastLine="0" shrinkToFit="0" readingOrder="0"/>
      <border diagonalUp="0" diagonalDown="0" outline="0">
        <left style="thin">
          <color indexed="64"/>
        </left>
        <right/>
        <top/>
        <bottom/>
      </border>
    </dxf>
    <dxf>
      <alignment horizontal="right" vertical="bottom" textRotation="0" wrapText="0" indent="0" justifyLastLine="0" shrinkToFit="0" readingOrder="0"/>
      <border diagonalUp="0" diagonalDown="0" outline="0">
        <left style="thin">
          <color indexed="64"/>
        </left>
        <right/>
        <top/>
        <bottom/>
      </border>
    </dxf>
    <dxf>
      <alignment horizontal="right" vertical="bottom" textRotation="0" wrapText="0" indent="0" justifyLastLine="0" shrinkToFit="0" readingOrder="0"/>
      <border diagonalUp="0" diagonalDown="0" outline="0">
        <left style="thin">
          <color indexed="64"/>
        </left>
        <right/>
        <top/>
        <bottom/>
      </border>
    </dxf>
    <dxf>
      <numFmt numFmtId="167"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dxf>
    <dxf>
      <alignment horizontal="right" vertical="bottom" textRotation="0" wrapText="0" indent="0" justifyLastLine="0" shrinkToFit="0" readingOrder="0"/>
      <border diagonalUp="0" diagonalDown="0" outline="0">
        <left style="thin">
          <color indexed="64"/>
        </left>
        <right/>
        <top/>
        <bottom/>
      </border>
    </dxf>
    <dxf>
      <alignment horizontal="right" vertical="bottom" textRotation="0" wrapText="0" indent="0" justifyLastLine="0" shrinkToFit="0" readingOrder="0"/>
      <border diagonalUp="0" diagonalDown="0" outline="0">
        <left style="thin">
          <color indexed="64"/>
        </left>
        <right/>
        <top/>
        <bottom/>
      </border>
    </dxf>
    <dxf>
      <alignment horizontal="right" vertical="bottom" textRotation="0" wrapText="0" indent="0" justifyLastLine="0" shrinkToFit="0" readingOrder="0"/>
      <border diagonalUp="0" diagonalDown="0" outline="0">
        <left style="thin">
          <color indexed="64"/>
        </left>
        <right/>
        <top/>
        <bottom/>
      </border>
    </dxf>
    <dxf>
      <numFmt numFmtId="167"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_(* #,##0_);_(* \(#,##0\);_(* &quot;-&quot;??_);_(@_)"/>
      <alignment horizontal="right" vertical="bottom" textRotation="0" wrapText="0" indent="0" justifyLastLine="0" shrinkToFit="0" readingOrder="0"/>
    </dxf>
    <dxf>
      <alignment horizontal="right" vertical="bottom" textRotation="0" wrapText="0" indent="0" justifyLastLine="0" shrinkToFit="0" readingOrder="0"/>
      <border diagonalUp="0" diagonalDown="0" outline="0">
        <left style="thin">
          <color indexed="64"/>
        </left>
        <right/>
        <top/>
        <bottom/>
      </border>
    </dxf>
    <dxf>
      <alignment horizontal="right" vertical="bottom" textRotation="0" wrapText="0" indent="0" justifyLastLine="0" shrinkToFit="0" readingOrder="0"/>
      <border diagonalUp="0" diagonalDown="0" outline="0">
        <left style="thin">
          <color indexed="64"/>
        </left>
        <right/>
        <top/>
        <bottom/>
      </border>
    </dxf>
    <dxf>
      <numFmt numFmtId="167"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border diagonalUp="0" diagonalDown="0" outline="0">
        <left/>
        <right/>
        <top/>
        <bottom/>
      </border>
    </dxf>
    <dxf>
      <numFmt numFmtId="164" formatCode="h:mm;@"/>
    </dxf>
    <dxf>
      <border diagonalUp="0" diagonalDown="0" outline="0">
        <left style="thin">
          <color indexed="64"/>
        </left>
        <right/>
        <top/>
        <bottom/>
      </border>
    </dxf>
    <dxf>
      <border diagonalUp="0" diagonalDown="0" outline="0">
        <left style="thin">
          <color indexed="64"/>
        </left>
        <right/>
        <top/>
        <bottom/>
      </border>
    </dxf>
    <dxf>
      <numFmt numFmtId="167" formatCode="[h]:mm;@"/>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4" formatCode="h:mm;@"/>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4" formatCode="h:mm;@"/>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Verdana"/>
        <family val="2"/>
        <scheme val="none"/>
      </font>
      <numFmt numFmtId="1"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 formatCode="0"/>
      <border diagonalUp="0" diagonalDown="0" outline="0">
        <left style="thin">
          <color indexed="64"/>
        </left>
        <right/>
        <top/>
        <bottom/>
      </border>
    </dxf>
    <dxf>
      <border diagonalUp="0" diagonalDown="0" outline="0">
        <left style="thin">
          <color indexed="64"/>
        </left>
        <right/>
        <top/>
        <bottom/>
      </border>
    </dxf>
    <dxf>
      <font>
        <b val="0"/>
        <i val="0"/>
        <strike val="0"/>
        <condense val="0"/>
        <extend val="0"/>
        <outline val="0"/>
        <shadow val="0"/>
        <u val="none"/>
        <vertAlign val="baseline"/>
        <sz val="10"/>
        <color auto="1"/>
        <name val="Verdana"/>
        <family val="2"/>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Verdana"/>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Verdana"/>
        <family val="2"/>
        <scheme val="none"/>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4" formatCode="h:mm;@"/>
    </dxf>
    <dxf>
      <font>
        <b val="0"/>
        <i val="0"/>
        <strike val="0"/>
        <condense val="0"/>
        <extend val="0"/>
        <outline val="0"/>
        <shadow val="0"/>
        <u val="none"/>
        <vertAlign val="baseline"/>
        <sz val="10"/>
        <color auto="1"/>
        <name val="Calibri"/>
        <family val="2"/>
        <scheme val="minor"/>
      </font>
      <numFmt numFmtId="164" formatCode="h:mm;@"/>
    </dxf>
    <dxf>
      <font>
        <b val="0"/>
        <i val="0"/>
        <strike val="0"/>
        <condense val="0"/>
        <extend val="0"/>
        <outline val="0"/>
        <shadow val="0"/>
        <u val="none"/>
        <vertAlign val="baseline"/>
        <sz val="10"/>
        <color auto="1"/>
        <name val="Calibri"/>
        <family val="2"/>
        <scheme val="minor"/>
      </font>
      <numFmt numFmtId="164" formatCode="h:mm;@"/>
      <border diagonalUp="0" diagonalDown="0">
        <left style="thin">
          <color indexed="64"/>
        </left>
        <right/>
        <top/>
        <bottom/>
        <vertical/>
        <horizontal/>
      </border>
    </dxf>
    <dxf>
      <numFmt numFmtId="167" formatCode="[h]:mm;@"/>
    </dxf>
    <dxf>
      <font>
        <b val="0"/>
        <i val="0"/>
        <strike val="0"/>
        <condense val="0"/>
        <extend val="0"/>
        <outline val="0"/>
        <shadow val="0"/>
        <u val="none"/>
        <vertAlign val="baseline"/>
        <sz val="10"/>
        <color auto="1"/>
        <name val="Calibri"/>
        <family val="2"/>
        <scheme val="minor"/>
      </font>
      <numFmt numFmtId="164" formatCode="h:mm;@"/>
    </dxf>
    <dxf>
      <font>
        <sz val="10"/>
        <color auto="1"/>
        <name val="Calibri"/>
        <family val="2"/>
        <scheme val="minor"/>
      </font>
      <numFmt numFmtId="164" formatCode="h:mm;@"/>
    </dxf>
    <dxf>
      <numFmt numFmtId="164" formatCode="h:mm;@"/>
    </dxf>
    <dxf>
      <numFmt numFmtId="0" formatCode="General"/>
      <border diagonalUp="0" diagonalDown="0">
        <left style="double">
          <color auto="1"/>
        </left>
        <right/>
        <top/>
        <bottom/>
        <vertical/>
        <horizontal/>
      </border>
    </dxf>
    <dxf>
      <font>
        <b val="0"/>
        <i val="0"/>
        <strike val="0"/>
        <condense val="0"/>
        <extend val="0"/>
        <outline val="0"/>
        <shadow val="0"/>
        <u val="none"/>
        <vertAlign val="baseline"/>
        <sz val="10"/>
        <color auto="1"/>
        <name val="Calibri"/>
        <family val="2"/>
        <scheme val="minor"/>
      </font>
      <numFmt numFmtId="167" formatCode="[h]:mm;@"/>
    </dxf>
    <dxf>
      <font>
        <b val="0"/>
        <i val="0"/>
        <strike val="0"/>
        <condense val="0"/>
        <extend val="0"/>
        <outline val="0"/>
        <shadow val="0"/>
        <u val="none"/>
        <vertAlign val="baseline"/>
        <sz val="10"/>
        <color auto="1"/>
        <name val="Calibri"/>
        <family val="2"/>
        <scheme val="minor"/>
      </font>
      <numFmt numFmtId="166" formatCode="_(* #,##0_);_(* \(#,##0\);_(* &quot;-&quot;??_);_(@_)"/>
    </dxf>
    <dxf>
      <font>
        <b val="0"/>
        <i val="0"/>
        <strike val="0"/>
        <condense val="0"/>
        <extend val="0"/>
        <outline val="0"/>
        <shadow val="0"/>
        <u val="none"/>
        <vertAlign val="baseline"/>
        <sz val="10"/>
        <color auto="1"/>
        <name val="Calibri"/>
        <family val="2"/>
        <scheme val="minor"/>
      </font>
      <numFmt numFmtId="166" formatCode="_(* #,##0_);_(* \(#,##0\);_(* &quot;-&quot;??_);_(@_)"/>
    </dxf>
    <dxf>
      <alignment horizontal="right" vertical="bottom" textRotation="0" indent="0" justifyLastLine="0" shrinkToFit="0" readingOrder="0"/>
    </dxf>
    <dxf>
      <numFmt numFmtId="164" formatCode="h:mm;@"/>
    </dxf>
    <dxf>
      <numFmt numFmtId="167" formatCode="[h]:mm;@"/>
    </dxf>
    <dxf>
      <numFmt numFmtId="164" formatCode="h:mm;@"/>
    </dxf>
    <dxf>
      <font>
        <sz val="10"/>
        <color auto="1"/>
        <name val="Calibri"/>
        <family val="2"/>
        <scheme val="minor"/>
      </font>
      <numFmt numFmtId="164" formatCode="h:mm;@"/>
    </dxf>
    <dxf>
      <numFmt numFmtId="167" formatCode="[h]:mm;@"/>
    </dxf>
    <dxf>
      <numFmt numFmtId="166" formatCode="_(* #,##0_);_(* \(#,##0\);_(* &quot;-&quot;??_);_(@_)"/>
    </dxf>
    <dxf>
      <numFmt numFmtId="167" formatCode="[h]:mm;@"/>
    </dxf>
    <dxf>
      <numFmt numFmtId="167" formatCode="[h]:mm;@"/>
    </dxf>
    <dxf>
      <numFmt numFmtId="164" formatCode="h:mm;@"/>
    </dxf>
    <dxf>
      <numFmt numFmtId="164" formatCode="h:mm;@"/>
    </dxf>
    <dxf>
      <numFmt numFmtId="166" formatCode="_(* #,##0_);_(* \(#,##0\);_(* &quot;-&quot;??_);_(@_)"/>
    </dxf>
    <dxf>
      <numFmt numFmtId="166" formatCode="_(* #,##0_);_(* \(#,##0\);_(* &quot;-&quot;??_);_(@_)"/>
    </dxf>
    <dxf>
      <numFmt numFmtId="164" formatCode="h:mm;@"/>
      <border diagonalUp="0" diagonalDown="0">
        <left style="thin">
          <color indexed="64"/>
        </left>
        <right/>
        <top/>
        <bottom/>
        <vertical/>
        <horizontal/>
      </border>
    </dxf>
    <dxf>
      <numFmt numFmtId="167" formatCode="[h]:mm;@"/>
    </dxf>
    <dxf>
      <numFmt numFmtId="164" formatCode="h:mm;@"/>
    </dxf>
    <dxf>
      <numFmt numFmtId="164" formatCode="h:mm;@"/>
    </dxf>
    <dxf>
      <numFmt numFmtId="166" formatCode="_(* #,##0_);_(* \(#,##0\);_(* &quot;-&quot;??_);_(@_)"/>
    </dxf>
    <dxf>
      <numFmt numFmtId="166" formatCode="_(* #,##0_);_(* \(#,##0\);_(* &quot;-&quot;??_);_(@_)"/>
    </dxf>
    <dxf>
      <numFmt numFmtId="164" formatCode="h:mm;@"/>
      <border diagonalUp="0" diagonalDown="0">
        <left style="thin">
          <color indexed="64"/>
        </left>
        <top/>
        <bottom/>
        <vertical/>
        <horizontal/>
      </border>
    </dxf>
    <dxf>
      <numFmt numFmtId="167" formatCode="[h]:mm;@"/>
    </dxf>
    <dxf>
      <numFmt numFmtId="164"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dxf>
    <dxf>
      <numFmt numFmtId="166" formatCode="_(* #,##0_);_(* \(#,##0\);_(* &quot;-&quot;??_);_(@_)"/>
    </dxf>
    <dxf>
      <numFmt numFmtId="166" formatCode="_(* #,##0_);_(* \(#,##0\);_(* &quot;-&quot;??_);_(@_)"/>
    </dxf>
    <dxf>
      <numFmt numFmtId="164" formatCode="h:mm;@"/>
      <alignment horizontal="right" vertical="bottom" textRotation="0" wrapText="0" indent="0" justifyLastLine="0" shrinkToFit="0" readingOrder="0"/>
      <border diagonalUp="0" diagonalDown="0">
        <left style="thin">
          <color indexed="64"/>
        </left>
        <right/>
        <top/>
        <bottom/>
        <vertical/>
        <horizontal/>
      </border>
    </dxf>
    <dxf>
      <numFmt numFmtId="167" formatCode="[h]:mm;@"/>
      <alignment horizontal="right" vertical="bottom" textRotation="0" wrapText="0" indent="0" justifyLastLine="0" shrinkToFit="0" readingOrder="0"/>
    </dxf>
    <dxf>
      <numFmt numFmtId="164" formatCode="h:mm;@"/>
      <alignment horizontal="right" vertical="bottom" textRotation="0" wrapText="0" indent="0" justifyLastLine="0" shrinkToFit="0" readingOrder="0"/>
      <border diagonalUp="0" diagonalDown="0">
        <left/>
        <right style="thin">
          <color indexed="64"/>
        </right>
        <top/>
        <bottom/>
        <vertical/>
        <horizontal/>
      </border>
    </dxf>
    <dxf>
      <numFmt numFmtId="164" formatCode="h:mm;@"/>
    </dxf>
    <dxf>
      <numFmt numFmtId="1" formatCode="0"/>
    </dxf>
    <dxf>
      <numFmt numFmtId="164" formatCode="h:mm;@"/>
    </dxf>
    <dxf>
      <numFmt numFmtId="164" formatCode="h:mm;@"/>
      <border diagonalUp="0" diagonalDown="0">
        <left style="thin">
          <color indexed="64"/>
        </left>
        <right/>
        <top/>
        <bottom/>
        <vertical/>
        <horizontal/>
      </border>
    </dxf>
    <dxf>
      <font>
        <b val="0"/>
        <i val="0"/>
        <strike val="0"/>
        <condense val="0"/>
        <extend val="0"/>
        <outline val="0"/>
        <shadow val="0"/>
        <u val="none"/>
        <vertAlign val="baseline"/>
        <sz val="10"/>
        <color auto="1"/>
        <name val="Calibri"/>
        <family val="2"/>
        <scheme val="minor"/>
      </font>
      <numFmt numFmtId="167" formatCode="[h]:mm;@"/>
    </dxf>
    <dxf>
      <font>
        <sz val="10"/>
        <color auto="1"/>
        <name val="Calibri"/>
        <family val="2"/>
        <scheme val="minor"/>
      </font>
      <numFmt numFmtId="164" formatCode="h:mm;@"/>
      <border diagonalUp="0" diagonalDown="0">
        <left/>
        <right style="thin">
          <color indexed="64"/>
        </right>
        <top/>
        <bottom/>
        <vertical/>
        <horizontal/>
      </border>
    </dxf>
    <dxf>
      <font>
        <strike val="0"/>
        <outline val="0"/>
        <shadow val="0"/>
        <u val="none"/>
        <vertAlign val="baseline"/>
        <name val="Calibri"/>
        <family val="2"/>
        <scheme val="minor"/>
      </font>
      <numFmt numFmtId="164" formatCode="h:mm;@"/>
    </dxf>
    <dxf>
      <numFmt numFmtId="1" formatCode="0"/>
    </dxf>
    <dxf>
      <numFmt numFmtId="1" formatCode="0"/>
    </dxf>
    <dxf>
      <numFmt numFmtId="164" formatCode="h:mm;@"/>
      <border diagonalUp="0" diagonalDown="0">
        <left style="thin">
          <color indexed="64"/>
        </left>
        <right/>
        <top/>
        <bottom/>
        <vertical/>
        <horizontal/>
      </border>
    </dxf>
    <dxf>
      <numFmt numFmtId="165" formatCode="0.0"/>
      <alignment horizontal="right" vertical="bottom" textRotation="0" wrapText="0" indent="0" justifyLastLine="0" shrinkToFit="0" readingOrder="0"/>
    </dxf>
    <dxf>
      <numFmt numFmtId="0" formatCode="General"/>
    </dxf>
    <dxf>
      <numFmt numFmtId="164" formatCode="h:mm;@"/>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3C877C8-8499-4F01-AA5C-1CC0B3D0260D}" name="Table2" displayName="Table2" ref="A2:AZ233" totalsRowCount="1">
  <autoFilter ref="A2:AZ232" xr:uid="{43C877C8-8499-4F01-AA5C-1CC0B3D0260D}">
    <filterColumn colId="45">
      <filters>
        <filter val="1"/>
        <filter val="2"/>
        <filter val="3"/>
        <filter val="4"/>
        <filter val="5"/>
        <filter val="6"/>
        <filter val="7"/>
      </filters>
    </filterColumn>
  </autoFilter>
  <sortState xmlns:xlrd2="http://schemas.microsoft.com/office/spreadsheetml/2017/richdata2" ref="A3:AZ202">
    <sortCondition descending="1" ref="AY3:AY232"/>
    <sortCondition descending="1" ref="AX3:AX232"/>
    <sortCondition ref="AW3:AW232"/>
  </sortState>
  <tableColumns count="52">
    <tableColumn id="1" xr3:uid="{13AAADB6-5516-4B9E-AF9F-F40E71971782}" name="Name" totalsRowLabel="Medians" dataDxfId="101" totalsRowDxfId="49" dataCellStyle="Normal 2"/>
    <tableColumn id="17" xr3:uid="{9C024034-83D8-4F5F-A224-A4A83156E7FA}" name="GHIN #" dataDxfId="100" totalsRowDxfId="48" dataCellStyle="Normal 2"/>
    <tableColumn id="13" xr3:uid="{7CEF27D2-3729-46B5-A6B0-9FA861E767F0}" name="HI" totalsRowFunction="custom" dataDxfId="99" totalsRowDxfId="47" dataCellStyle="Normal 2">
      <totalsRowFormula>MEDIAN(C3:C232)</totalsRowFormula>
    </tableColumn>
    <tableColumn id="6" xr3:uid="{89073A5C-F9D6-4C63-B0E0-7A54A958DDB4}" name="Tee time1" totalsRowFunction="countNums" dataDxfId="98" totalsRowDxfId="46" dataCellStyle="Normal 2">
      <calculatedColumnFormula>_xlfn.IFNA(VLOOKUP(Table2[[#This Row],[Name]],'Classic day 1 - players'!$A$2:$B$64,2,FALSE),"")</calculatedColumnFormula>
    </tableColumn>
    <tableColumn id="31" xr3:uid="{5D542AEC-4524-4373-B5F9-C3A66687EDAF}" name="group size" dataDxfId="97" totalsRowDxfId="45">
      <calculatedColumnFormula>IF(Table2[[#This Row],[Tee time1]]&lt;&gt;"",COUNTIF('Classic day 1 - players'!$B$2:$B$64,"="&amp;Table2[[#This Row],[Tee time1]]),"")</calculatedColumnFormula>
    </tableColumn>
    <tableColumn id="25" xr3:uid="{FD579079-BFB3-4756-B2ED-3D63C786AAAB}" name="followers1" dataDxfId="96" totalsRowDxfId="44">
      <calculatedColumnFormula>_xlfn.IFNA(VLOOKUP(Table2[[#This Row],[Tee time1]],'Classic day 1 - groups'!$A$3:$F$20,6,FALSE),"")</calculatedColumnFormula>
    </tableColumn>
    <tableColumn id="7" xr3:uid="{AC9F2867-7184-415E-A450-CBD326FFEBE4}" name="round1" totalsRowFunction="custom" dataDxfId="95" totalsRowDxfId="43" dataCellStyle="Normal 2">
      <calculatedColumnFormula>_xlfn.IFNA(VLOOKUP(Table2[[#This Row],[Tee time1]],'Classic day 1 - groups'!$A$3:$F$20,4,FALSE),"")</calculatedColumnFormula>
      <totalsRowFormula>MEDIAN(G3:G232)</totalsRowFormula>
    </tableColumn>
    <tableColumn id="8" xr3:uid="{5A3F1B48-D33A-4B4A-B94F-AA09EFA35B4F}" name="gap1" totalsRowFunction="custom" dataDxfId="94" totalsRowDxfId="42" dataCellStyle="Normal 2">
      <calculatedColumnFormula>_xlfn.IFNA(VLOOKUP(Table2[[#This Row],[Tee time1]],'Classic day 1 - groups'!$A$3:$F$20,5,FALSE),"")</calculatedColumnFormula>
      <totalsRowFormula>MEDIAN(H3:H232)</totalsRowFormula>
    </tableColumn>
    <tableColumn id="32" xr3:uid="{70578B35-EA18-4868-874B-254F1F1FCBC3}" name="Following players delayed1" dataDxfId="93" totalsRowDxfId="41" dataCellStyle="Normal 2">
      <calculatedColumnFormula>IFERROR((MAX(starting_interval,IF(Table2[[#This Row],[gap1]]="NA",Table2[[#This Row],[avg gap]],Table2[[#This Row],[gap1]]))-starting_interval)*Table2[[#This Row],[followers1]]/Table2[[#This Row],[group size]],"")</calculatedColumnFormula>
    </tableColumn>
    <tableColumn id="2" xr3:uid="{128C02EF-4C58-402D-9FFC-C41FF2DF05E3}" name="tee time2" totalsRowFunction="countNums" dataDxfId="92" totalsRowDxfId="40">
      <calculatedColumnFormula>_xlfn.IFNA(VLOOKUP(Table2[[#This Row],[Name]],'Classic day 2 - players'!$A$2:$B$64,2,FALSE),"")</calculatedColumnFormula>
    </tableColumn>
    <tableColumn id="37" xr3:uid="{58273BC0-50DB-410C-8C96-F6C3CDD380DB}" name="group size2" dataDxfId="91" totalsRowDxfId="39">
      <calculatedColumnFormula>IF(Table2[[#This Row],[tee time2]]&lt;&gt;"",COUNTIF('Classic day 2 - players'!$B$2:$B$64,"="&amp;Table2[[#This Row],[tee time2]]),"")</calculatedColumnFormula>
    </tableColumn>
    <tableColumn id="26" xr3:uid="{420CEF9A-C642-4B1A-B173-BCF9399FBBB5}" name="followers2" dataDxfId="90">
      <calculatedColumnFormula>_xlfn.IFNA(VLOOKUP(Table2[[#This Row],[tee time2]],'Classic day 2 - groups'!$A$3:$F$20,6,FALSE),"")</calculatedColumnFormula>
    </tableColumn>
    <tableColumn id="3" xr3:uid="{7D2C9AA1-8039-4F2E-88DE-E6285C8DC87C}" name="Round2" totalsRowFunction="custom" dataDxfId="89" totalsRowDxfId="38">
      <calculatedColumnFormula>_xlfn.IFNA(VLOOKUP(Table2[[#This Row],[tee time2]],'Classic day 2 - groups'!$A$3:$F$20,4,FALSE),"")</calculatedColumnFormula>
      <totalsRowFormula>MEDIAN(M3:M232)</totalsRowFormula>
    </tableColumn>
    <tableColumn id="4" xr3:uid="{49C3AABA-A2E4-41FD-839D-96D043A727EE}" name="gap2" totalsRowFunction="custom" dataDxfId="88" totalsRowDxfId="37">
      <calculatedColumnFormula>_xlfn.IFNA(VLOOKUP(Table2[[#This Row],[tee time2]],'Classic day 2 - groups'!$A$3:$F$20,5,FALSE),"")</calculatedColumnFormula>
      <totalsRowFormula>MEDIAN(N3:N232)</totalsRowFormula>
    </tableColumn>
    <tableColumn id="33" xr3:uid="{1348C512-CAD3-48B2-B022-2D8F7975B0B1}" name="Following players delayed2" dataDxfId="87" totalsRowDxfId="36">
      <calculatedColumnFormula>IFERROR((MAX(starting_interval,IF(Table2[[#This Row],[gap2]]="NA",Table2[[#This Row],[avg gap]],Table2[[#This Row],[gap2]]))-starting_interval)*Table2[[#This Row],[followers2]]/Table2[[#This Row],[group size2]],"")</calculatedColumnFormula>
    </tableColumn>
    <tableColumn id="14" xr3:uid="{1194B630-EBAE-4BAD-8C18-B361C415D225}" name="tee time3" totalsRowFunction="countNums" dataDxfId="86" totalsRowDxfId="35">
      <calculatedColumnFormula>_xlfn.IFNA(VLOOKUP(Table2[[#This Row],[Name]],'Summer FD - players'!$A$2:$B$65,2,FALSE),"")</calculatedColumnFormula>
    </tableColumn>
    <tableColumn id="38" xr3:uid="{CD4FDC88-6C68-456D-8E4D-A941F752EF65}" name="group size3" dataDxfId="85" totalsRowDxfId="34" dataCellStyle="Comma">
      <calculatedColumnFormula>IF(Table2[[#This Row],[tee time3]]&lt;&gt;"",COUNTIF('Summer FD - players'!$B$2:$B$65,"="&amp;Table2[[#This Row],[tee time3]]),"")</calculatedColumnFormula>
    </tableColumn>
    <tableColumn id="27" xr3:uid="{F28A09D6-ABD8-4A32-82D3-441685855154}" name="followers3" dataDxfId="84" totalsRowDxfId="33" dataCellStyle="Comma">
      <calculatedColumnFormula>_xlfn.IFNA(VLOOKUP(Table2[[#This Row],[tee time3]],'Summer FD - groups'!$A$3:$F$20,6,FALSE),"")</calculatedColumnFormula>
    </tableColumn>
    <tableColumn id="15" xr3:uid="{36507610-4533-47C1-801D-65C0861C4D4D}" name="round3" totalsRowFunction="custom" dataDxfId="83" totalsRowDxfId="32">
      <calculatedColumnFormula>_xlfn.IFNA(VLOOKUP(Table2[[#This Row],[tee time3]],'Summer FD - groups'!$A$3:$F$20,4,FALSE),"")</calculatedColumnFormula>
      <totalsRowFormula>MEDIAN(S3:S232)</totalsRowFormula>
    </tableColumn>
    <tableColumn id="12" xr3:uid="{7A721576-9E37-48AE-B103-F39B58935C97}" name="gap3" totalsRowFunction="custom" dataDxfId="82" totalsRowDxfId="31">
      <calculatedColumnFormula>_xlfn.IFNA(VLOOKUP(Table2[[#This Row],[tee time3]],'Summer FD - groups'!$A$3:$F$20,5,FALSE),"")</calculatedColumnFormula>
      <totalsRowFormula>MEDIAN(T3:T232)</totalsRowFormula>
    </tableColumn>
    <tableColumn id="34" xr3:uid="{3EBB0145-F96A-45C0-A56C-9389FDE282C6}" name="Following players delayed3" dataDxfId="81" totalsRowDxfId="30">
      <calculatedColumnFormula>IF(Table2[[#This Row],[avg gap]]&lt;&gt;"",IFERROR((MAX(starting_interval,IF(Table2[[#This Row],[gap3]]="NA",Table2[[#This Row],[avg gap]],Table2[[#This Row],[gap3]]))-starting_interval)*Table2[[#This Row],[followers3]]/Table2[[#This Row],[group size3]],""),"")</calculatedColumnFormula>
    </tableColumn>
    <tableColumn id="9" xr3:uid="{1E42BC37-7583-46D9-A3D2-91637DB863F4}" name="tee time4" totalsRowFunction="countNums" dataDxfId="80" totalsRowDxfId="29">
      <calculatedColumnFormula>_xlfn.IFNA(VLOOKUP(Table2[[#This Row],[Name]],'6-6-6 - players'!$A$2:$B$69,2,FALSE),"")</calculatedColumnFormula>
    </tableColumn>
    <tableColumn id="39" xr3:uid="{B98877A0-790A-449F-B703-F19ED2397FBE}" name="group size4" dataDxfId="79" totalsRowDxfId="28" dataCellStyle="Comma">
      <calculatedColumnFormula>IF(Table2[[#This Row],[tee time4]]&lt;&gt;"",COUNTIF('6-6-6 - players'!$B$2:$B$69,"="&amp;Table2[[#This Row],[tee time4]]),"")</calculatedColumnFormula>
    </tableColumn>
    <tableColumn id="28" xr3:uid="{8C127486-8328-44E0-BABF-0A6059CC7AA0}" name="followers4" dataDxfId="78" totalsRowDxfId="27" dataCellStyle="Comma">
      <calculatedColumnFormula>_xlfn.IFNA(VLOOKUP(Table2[[#This Row],[tee time4]],'6-6-6 - groups'!$A$3:$F$20,6,FALSE),"")</calculatedColumnFormula>
    </tableColumn>
    <tableColumn id="18" xr3:uid="{4251D7EC-71BE-4735-B5E7-550C0AF71683}" name="round4" totalsRowFunction="custom" dataDxfId="77" totalsRowDxfId="26">
      <calculatedColumnFormula>_xlfn.IFNA(VLOOKUP(Table2[[#This Row],[tee time4]],'6-6-6 - groups'!$A$3:$F$20,4,FALSE),"")</calculatedColumnFormula>
      <totalsRowFormula>MEDIAN(Y3:Y232)</totalsRowFormula>
    </tableColumn>
    <tableColumn id="19" xr3:uid="{573F8223-38B3-4E98-A6F5-FA977EC61B2D}" name="gap4" totalsRowFunction="custom" dataDxfId="76" totalsRowDxfId="25">
      <calculatedColumnFormula>_xlfn.IFNA(VLOOKUP(Table2[[#This Row],[tee time4]],'6-6-6 - groups'!$A$3:$F$20,5,FALSE),"")</calculatedColumnFormula>
      <totalsRowFormula>MEDIAN(Z3:Z232)</totalsRowFormula>
    </tableColumn>
    <tableColumn id="35" xr3:uid="{000AF84A-310C-4CB6-BBEA-5421AA9AA69F}" name="Following players delayed4" dataDxfId="75" totalsRowDxfId="24">
      <calculatedColumnFormula>IF(Table2[[#This Row],[avg gap]]&lt;&gt;"",IFERROR((MAX(starting_interval,IF(Table2[[#This Row],[gap4]]="NA",Table2[[#This Row],[avg gap]],Table2[[#This Row],[gap4]]))-starting_interval)*Table2[[#This Row],[followers4]]/Table2[[#This Row],[group size4]],""),"")</calculatedColumnFormula>
    </tableColumn>
    <tableColumn id="22" xr3:uid="{657FDCB5-2A42-4A73-BD9E-D391D57BB7B9}" name="tee time5" totalsRowFunction="countNums" dataDxfId="74" totalsRowDxfId="23">
      <calculatedColumnFormula>_xlfn.IFNA(VLOOKUP(Table2[[#This Row],[Name]],'Fall FD - players'!$A$2:$B$65,2,FALSE),"")</calculatedColumnFormula>
    </tableColumn>
    <tableColumn id="40" xr3:uid="{1D8B1339-2795-4714-AED4-EDA36C1B09C2}" name="group size5" dataDxfId="73" totalsRowDxfId="22" dataCellStyle="Comma">
      <calculatedColumnFormula>IF(Table2[[#This Row],[tee time5]]&lt;&gt;"",COUNTIF('Fall FD - players'!$B$2:$B$65,"="&amp;Table2[[#This Row],[tee time5]]),"")</calculatedColumnFormula>
    </tableColumn>
    <tableColumn id="29" xr3:uid="{03B96192-0F59-42A0-9649-BD7F84D5C56E}" name="followers5" dataDxfId="72" totalsRowDxfId="21" dataCellStyle="Comma">
      <calculatedColumnFormula>_xlfn.IFNA(VLOOKUP(Table2[[#This Row],[tee time5]],'Fall FD - groups'!$A$3:$F$20,6,FALSE),"")</calculatedColumnFormula>
    </tableColumn>
    <tableColumn id="23" xr3:uid="{1B09BDFD-8711-494B-85D8-4EE6B77663AF}" name="round5" totalsRowFunction="custom" dataDxfId="71" totalsRowDxfId="20">
      <calculatedColumnFormula>_xlfn.IFNA(VLOOKUP(Table2[[#This Row],[tee time5]],'Fall FD - groups'!$A$3:$F$20,4,FALSE),"")</calculatedColumnFormula>
      <totalsRowFormula>MEDIAN(AE3:AE232)</totalsRowFormula>
    </tableColumn>
    <tableColumn id="24" xr3:uid="{86DF63CE-2FCA-43CF-8032-630552CB2179}" name="gap5" totalsRowFunction="custom" dataDxfId="70" totalsRowDxfId="19">
      <calculatedColumnFormula>IFERROR(MIN(_xlfn.IFNA(VLOOKUP(Table2[[#This Row],[tee time5]],'Fall FD - groups'!$A$3:$F$20,5,FALSE),""),starting_interval + Table2[[#This Row],[round5]] - standard_round_time),"")</calculatedColumnFormula>
      <totalsRowFormula>MEDIAN(AF3:AF232)</totalsRowFormula>
    </tableColumn>
    <tableColumn id="36" xr3:uid="{0684027B-9415-4877-88EF-3F53B92B39FB}" name="Following players delayed5" dataDxfId="69" totalsRowDxfId="18">
      <calculatedColumnFormula>IF(AND(Table2[[#This Row],[gap5]]="NA",Table2[[#This Row],[round5]]&lt;4/24),0,IFERROR((MAX(starting_interval,IF(Table2[[#This Row],[gap5]]="NA",Table2[[#This Row],[avg gap]],Table2[[#This Row],[gap5]]))-starting_interval)*Table2[[#This Row],[followers5]]/Table2[[#This Row],[group size5]],""))</calculatedColumnFormula>
    </tableColumn>
    <tableColumn id="41" xr3:uid="{B319744E-4102-4E05-8357-F0B99BAF9590}" name="tee time6" totalsRowFunction="countNums" dataDxfId="68" totalsRowDxfId="17"/>
    <tableColumn id="46" xr3:uid="{0D443466-756B-45ED-9A2A-C6753D302FB7}" name="group size6" dataDxfId="67" totalsRowDxfId="16">
      <calculatedColumnFormula>IF(Table2[[#This Row],[tee time6]]&lt;&gt;"",COUNTIF('Stableford - players'!$B$2:$B$65,"="&amp;Table2[[#This Row],[tee time6]]),"")</calculatedColumnFormula>
    </tableColumn>
    <tableColumn id="42" xr3:uid="{2F6D81BE-A1C0-437C-9B89-72995838EB44}" name="followers6" dataDxfId="66" totalsRowDxfId="15"/>
    <tableColumn id="43" xr3:uid="{C36993E4-ED0F-4F5F-A58D-7FDDCD76D513}" name="round6" totalsRowFunction="custom" dataDxfId="65" totalsRowDxfId="14" dataCellStyle="Normal 2">
      <totalsRowFormula>MEDIAN(AK3:AK232)</totalsRowFormula>
    </tableColumn>
    <tableColumn id="44" xr3:uid="{1D9154EC-BAF8-47C6-995E-B251DC522CA8}" name="gap6" totalsRowFunction="custom" dataDxfId="64" totalsRowDxfId="13">
      <totalsRowFormula>MEDIAN(AL3:AL232)</totalsRowFormula>
    </tableColumn>
    <tableColumn id="45" xr3:uid="{902E7D44-9748-472C-9146-9E4BF7B2420B}" name="Following players delayed6" dataDxfId="63" totalsRowDxfId="12"/>
    <tableColumn id="53" xr3:uid="{BFA46F60-4CAA-4208-9A1B-76874E05BBC9}" name="tee time7" totalsRowFunction="countNums" dataDxfId="52" totalsRowDxfId="11" dataCellStyle="Normal 2">
      <calculatedColumnFormula>_xlfn.IFNA(VLOOKUP(Table2[[#This Row],[Name]],'Turkey Shoot - players'!$A$2:$B$65,2,FALSE),"")</calculatedColumnFormula>
    </tableColumn>
    <tableColumn id="52" xr3:uid="{DF9E6C3A-C67C-487B-B9FF-0EA5FAC28F32}" name="group size7" dataDxfId="60" totalsRowDxfId="10" dataCellStyle="Normal 2">
      <calculatedColumnFormula>IF(Table2[[#This Row],[tee time7]]&lt;&gt;"",COUNTIF('Turkey Shoot - players'!$B$2:$B$65,"="&amp;Table2[[#This Row],[tee time7]]),"")</calculatedColumnFormula>
    </tableColumn>
    <tableColumn id="51" xr3:uid="{38E68626-121D-4544-B3DC-4438896175AB}" name="followers7" dataDxfId="59" totalsRowDxfId="9" dataCellStyle="Normal 2">
      <calculatedColumnFormula>_xlfn.IFNA(VLOOKUP(Table2[[#This Row],[tee time7]],'Stableford - groups'!$A$3:$F$20,6,FALSE),"")</calculatedColumnFormula>
    </tableColumn>
    <tableColumn id="50" xr3:uid="{1F592D68-C377-4AE4-A199-8B691279C0F3}" name="round7" totalsRowFunction="custom" dataDxfId="51" totalsRowDxfId="8" dataCellStyle="Normal 2">
      <calculatedColumnFormula>_xlfn.IFNA(VLOOKUP(Table2[[#This Row],[tee time7]],'Turkey Shoot - groups'!$A$3:$F$20,4,FALSE),"")</calculatedColumnFormula>
      <totalsRowFormula>MEDIAN(AQ3:AQ232)</totalsRowFormula>
    </tableColumn>
    <tableColumn id="49" xr3:uid="{86EF97D2-4D25-4E1A-9287-B2A08C003340}" name="gap7" totalsRowFunction="custom" dataDxfId="50" totalsRowDxfId="7" dataCellStyle="Normal 2">
      <calculatedColumnFormula>_xlfn.IFNA(VLOOKUP(Table2[[#This Row],[tee time7]],'Turkey Shoot - groups'!$A$3:$F$20,5,FALSE),"")</calculatedColumnFormula>
      <totalsRowFormula>MEDIAN(AR3:AR232)</totalsRowFormula>
    </tableColumn>
    <tableColumn id="48" xr3:uid="{47CEAC28-886B-4975-AAFE-2951B91565BA}" name="Following players delayed7" dataDxfId="58" totalsRowDxfId="6" dataCellStyle="Normal 2">
      <calculatedColumnFormula>IF(AND(Table2[[#This Row],[gap7]]="NA",Table2[[#This Row],[round7]]&lt;4/24),0,IFERROR((MAX(starting_interval,IF(Table2[[#This Row],[gap7]]="NA",Table2[[#This Row],[avg gap]],Table2[[#This Row],[gap7]]))-starting_interval)*Table2[[#This Row],[followers7]]/Table2[[#This Row],[group size7]],""))</calculatedColumnFormula>
    </tableColumn>
    <tableColumn id="16" xr3:uid="{615A5220-8978-4D7A-B666-4E0DAD5FC897}" name="Count" totalsRowFunction="sum" dataDxfId="57" totalsRowDxfId="5">
      <calculatedColumnFormula>COUNT(Table2[[#This Row],[Tee time1]],Table2[[#This Row],[tee time2]],Table2[[#This Row],[tee time3]],Table2[[#This Row],[tee time4]],Table2[[#This Row],[tee time5]],Table2[[#This Row],[tee time6]],Table2[[#This Row],[tee time7]])</calculatedColumnFormula>
    </tableColumn>
    <tableColumn id="5" xr3:uid="{DC2F4306-4C69-409B-8607-BACB0268D08D}" name="avg tee time" dataDxfId="56">
      <calculatedColumnFormula>IFERROR(AVERAGE(Table2[[#This Row],[Tee time1]],Table2[[#This Row],[tee time2]],Table2[[#This Row],[tee time3]],Table2[[#This Row],[tee time4]],Table2[[#This Row],[tee time5]],Table2[[#This Row],[tee time6]],Table2[[#This Row],[tee time7]]),"")</calculatedColumnFormula>
    </tableColumn>
    <tableColumn id="10" xr3:uid="{9CB7F1CD-5ECD-4FC8-AE3C-7AD127DA65C2}" name="median round" totalsRowFunction="custom" dataDxfId="55" totalsRowDxfId="4" dataCellStyle="Normal 2">
      <calculatedColumnFormula>IFERROR(MEDIAN(Table2[[#This Row],[round1]],Table2[[#This Row],[Round2]],Table2[[#This Row],[round3]],Table2[[#This Row],[round4]],Table2[[#This Row],[round5]],Table2[[#This Row],[round6]],Table2[[#This Row],[round7]]),"")</calculatedColumnFormula>
      <totalsRowFormula>MEDIAN(AV3:AV232)</totalsRowFormula>
    </tableColumn>
    <tableColumn id="11" xr3:uid="{50FF3BA6-5034-4872-BE80-8511AB4C5E4D}" name="avg gap" totalsRowFunction="custom" dataDxfId="54" totalsRowDxfId="3" dataCellStyle="Normal 2">
      <calculatedColumnFormula>IFERROR(AVERAGE(Table2[[#This Row],[gap1]],Table2[[#This Row],[gap2]],Table2[[#This Row],[gap3]],Table2[[#This Row],[gap4]],Table2[[#This Row],[gap5]],Table2[[#This Row],[gap6]],Table2[[#This Row],[gap7]]),"")</calculatedColumnFormula>
      <totalsRowFormula>MEDIAN(AW3:AW232)</totalsRowFormula>
    </tableColumn>
    <tableColumn id="21" xr3:uid="{C1E1A08A-0333-4460-93D3-4365389DE1FB}" name="total delay minutes" dataDxfId="62" totalsRowDxfId="2">
      <calculatedColumnFormula>IFERROR((Table2[[#This Row],[avg gap]]-starting_interval)*24*60*Table2[[#This Row],[Count]],"NA")</calculatedColumnFormula>
    </tableColumn>
    <tableColumn id="30" xr3:uid="{6025C93A-0CDA-4DBD-B454-BA5A1DBE124E}" name="following player delay - HH:MM" totalsRowFunction="sum" dataDxfId="53" totalsRowDxfId="1">
      <calculatedColumnFormula>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calculatedColumnFormula>
    </tableColumn>
    <tableColumn id="20" xr3:uid="{3084CB2D-F021-4067-B242-B741E11A346F}" name="ever penalized?" dataDxfId="6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7BE47-8A68-4B7B-925D-9C64ED9129E0}">
  <dimension ref="A1:AZ233"/>
  <sheetViews>
    <sheetView tabSelected="1" workbookViewId="0">
      <pane xSplit="3" ySplit="2" topLeftCell="AK3" activePane="bottomRight" state="frozen"/>
      <selection pane="topRight" activeCell="D1" sqref="D1"/>
      <selection pane="bottomLeft" activeCell="A3" sqref="A3"/>
      <selection pane="bottomRight" activeCell="D3" sqref="D3"/>
    </sheetView>
    <sheetView tabSelected="1" workbookViewId="1">
      <pane xSplit="2" ySplit="2" topLeftCell="AM3" activePane="bottomRight" state="frozen"/>
      <selection pane="topRight" activeCell="C1" sqref="C1"/>
      <selection pane="bottomLeft" activeCell="A3" sqref="A3"/>
      <selection pane="bottomRight" activeCell="AW12" sqref="AW12"/>
    </sheetView>
    <sheetView workbookViewId="2"/>
  </sheetViews>
  <sheetFormatPr defaultRowHeight="14.4" x14ac:dyDescent="0.3"/>
  <cols>
    <col min="1" max="1" width="25" style="79" customWidth="1"/>
    <col min="2" max="2" width="10.77734375" style="76" hidden="1" customWidth="1"/>
    <col min="3" max="3" width="8" style="78" customWidth="1"/>
    <col min="4" max="4" width="6.5546875" style="76" customWidth="1"/>
    <col min="5" max="5" width="6.5546875" style="80" hidden="1" customWidth="1"/>
    <col min="6" max="6" width="4.88671875" style="80" hidden="1" customWidth="1"/>
    <col min="7" max="7" width="6.6640625" style="76" customWidth="1"/>
    <col min="8" max="8" width="8.44140625" style="76" customWidth="1"/>
    <col min="9" max="9" width="9.88671875" style="81" customWidth="1"/>
    <col min="10" max="10" width="7.109375" style="13" customWidth="1"/>
    <col min="11" max="11" width="7.5546875" style="76" hidden="1" customWidth="1"/>
    <col min="12" max="12" width="5.109375" style="76" hidden="1" customWidth="1"/>
    <col min="13" max="13" width="7.5546875" style="82" customWidth="1"/>
    <col min="14" max="14" width="5.88671875" style="81" customWidth="1"/>
    <col min="15" max="15" width="9" style="82" customWidth="1"/>
    <col min="16" max="16" width="7" style="82" customWidth="1"/>
    <col min="17" max="17" width="7.21875" style="82" hidden="1" customWidth="1"/>
    <col min="18" max="18" width="4.6640625" style="82" hidden="1" customWidth="1"/>
    <col min="19" max="19" width="9.88671875" style="81" customWidth="1"/>
    <col min="20" max="20" width="7.109375" style="82" customWidth="1"/>
    <col min="21" max="21" width="9" style="82" customWidth="1"/>
    <col min="22" max="22" width="6.33203125" style="82" customWidth="1"/>
    <col min="23" max="23" width="6" style="82" hidden="1" customWidth="1"/>
    <col min="24" max="24" width="5.44140625" style="81" hidden="1" customWidth="1"/>
    <col min="25" max="25" width="6.109375" style="76" bestFit="1" customWidth="1"/>
    <col min="26" max="26" width="10.109375" style="76" customWidth="1"/>
    <col min="27" max="27" width="8.5546875" style="76" customWidth="1"/>
    <col min="28" max="28" width="5.77734375" style="76" customWidth="1"/>
    <col min="29" max="29" width="9.44140625" style="81" hidden="1" customWidth="1"/>
    <col min="30" max="30" width="8" style="82" hidden="1" customWidth="1"/>
    <col min="31" max="31" width="8.33203125" style="78" customWidth="1"/>
    <col min="32" max="32" width="8.109375" style="76" customWidth="1"/>
    <col min="33" max="34" width="8.88671875" style="76"/>
    <col min="35" max="36" width="8.88671875" style="76" hidden="1" customWidth="1"/>
    <col min="37" max="40" width="8.88671875" style="76"/>
    <col min="41" max="42" width="0" style="76" hidden="1" customWidth="1"/>
    <col min="43" max="49" width="8.88671875" style="76"/>
    <col min="50" max="50" width="11.109375" style="76" customWidth="1"/>
    <col min="51" max="52" width="8.88671875" style="76"/>
  </cols>
  <sheetData>
    <row r="1" spans="1:52" ht="18" x14ac:dyDescent="0.35">
      <c r="A1" s="55"/>
      <c r="B1"/>
      <c r="C1" s="2"/>
      <c r="D1" s="91" t="s">
        <v>223</v>
      </c>
      <c r="E1" s="91"/>
      <c r="F1" s="91"/>
      <c r="G1" s="91"/>
      <c r="H1" s="91"/>
      <c r="I1" s="92"/>
      <c r="J1" s="93" t="s">
        <v>218</v>
      </c>
      <c r="K1" s="94"/>
      <c r="L1" s="94"/>
      <c r="M1" s="94"/>
      <c r="N1" s="94"/>
      <c r="O1" s="92"/>
      <c r="P1" s="93" t="s">
        <v>233</v>
      </c>
      <c r="Q1" s="94"/>
      <c r="R1" s="94"/>
      <c r="S1" s="94"/>
      <c r="T1" s="94"/>
      <c r="U1" s="92"/>
      <c r="V1" s="95" t="s">
        <v>472</v>
      </c>
      <c r="W1" s="96"/>
      <c r="X1" s="96"/>
      <c r="Y1" s="96"/>
      <c r="Z1" s="96"/>
      <c r="AA1" s="97"/>
      <c r="AB1" s="95" t="s">
        <v>492</v>
      </c>
      <c r="AC1" s="96"/>
      <c r="AD1" s="96"/>
      <c r="AE1" s="96"/>
      <c r="AF1" s="96"/>
      <c r="AG1" s="98"/>
      <c r="AH1" s="99" t="s">
        <v>888</v>
      </c>
      <c r="AI1" s="96"/>
      <c r="AJ1" s="96"/>
      <c r="AK1" s="96"/>
      <c r="AL1" s="96"/>
      <c r="AM1" s="98"/>
      <c r="AN1" s="99" t="s">
        <v>890</v>
      </c>
      <c r="AO1" s="96"/>
      <c r="AP1" s="96"/>
      <c r="AQ1" s="96"/>
      <c r="AR1" s="96"/>
      <c r="AS1" s="98"/>
      <c r="AT1" s="89" t="s">
        <v>458</v>
      </c>
      <c r="AU1" s="90"/>
      <c r="AV1" s="90"/>
      <c r="AW1" s="90"/>
      <c r="AX1" s="90"/>
      <c r="AY1" s="90"/>
      <c r="AZ1" s="90"/>
    </row>
    <row r="2" spans="1:52" ht="58.2" customHeight="1" x14ac:dyDescent="0.3">
      <c r="A2" s="10" t="s">
        <v>217</v>
      </c>
      <c r="B2" s="10" t="s">
        <v>237</v>
      </c>
      <c r="C2" s="14" t="s">
        <v>236</v>
      </c>
      <c r="D2" s="62" t="s">
        <v>225</v>
      </c>
      <c r="E2" s="31" t="s">
        <v>818</v>
      </c>
      <c r="F2" s="31" t="s">
        <v>495</v>
      </c>
      <c r="G2" s="56" t="s">
        <v>226</v>
      </c>
      <c r="H2" s="26" t="s">
        <v>227</v>
      </c>
      <c r="I2" s="67" t="s">
        <v>812</v>
      </c>
      <c r="J2" s="62" t="s">
        <v>224</v>
      </c>
      <c r="K2" s="75" t="s">
        <v>819</v>
      </c>
      <c r="L2" s="31" t="s">
        <v>496</v>
      </c>
      <c r="M2" s="27" t="s">
        <v>228</v>
      </c>
      <c r="N2" s="26" t="s">
        <v>229</v>
      </c>
      <c r="O2" s="67" t="s">
        <v>813</v>
      </c>
      <c r="P2" s="57" t="s">
        <v>230</v>
      </c>
      <c r="Q2" s="25" t="s">
        <v>820</v>
      </c>
      <c r="R2" s="58" t="s">
        <v>497</v>
      </c>
      <c r="S2" s="31" t="s">
        <v>231</v>
      </c>
      <c r="T2" s="25" t="s">
        <v>232</v>
      </c>
      <c r="U2" s="67" t="s">
        <v>814</v>
      </c>
      <c r="V2" s="57" t="s">
        <v>470</v>
      </c>
      <c r="W2" s="25" t="s">
        <v>821</v>
      </c>
      <c r="X2" s="58" t="s">
        <v>498</v>
      </c>
      <c r="Y2" s="25" t="s">
        <v>471</v>
      </c>
      <c r="Z2" s="25" t="s">
        <v>469</v>
      </c>
      <c r="AA2" s="67" t="s">
        <v>815</v>
      </c>
      <c r="AB2" s="57" t="s">
        <v>490</v>
      </c>
      <c r="AC2" s="25" t="s">
        <v>822</v>
      </c>
      <c r="AD2" s="58" t="s">
        <v>499</v>
      </c>
      <c r="AE2" s="25" t="s">
        <v>491</v>
      </c>
      <c r="AF2" s="25" t="s">
        <v>489</v>
      </c>
      <c r="AG2" s="67" t="s">
        <v>816</v>
      </c>
      <c r="AH2" s="57" t="s">
        <v>828</v>
      </c>
      <c r="AI2" s="25" t="s">
        <v>826</v>
      </c>
      <c r="AJ2" s="58" t="s">
        <v>827</v>
      </c>
      <c r="AK2" s="25" t="s">
        <v>829</v>
      </c>
      <c r="AL2" s="25" t="s">
        <v>830</v>
      </c>
      <c r="AM2" s="67" t="s">
        <v>825</v>
      </c>
      <c r="AN2" s="109" t="s">
        <v>938</v>
      </c>
      <c r="AO2" s="67" t="s">
        <v>934</v>
      </c>
      <c r="AP2" s="67" t="s">
        <v>935</v>
      </c>
      <c r="AQ2" s="67" t="s">
        <v>936</v>
      </c>
      <c r="AR2" s="67" t="s">
        <v>937</v>
      </c>
      <c r="AS2" s="67" t="s">
        <v>933</v>
      </c>
      <c r="AT2" s="71" t="s">
        <v>234</v>
      </c>
      <c r="AU2" s="108" t="s">
        <v>466</v>
      </c>
      <c r="AV2" s="107" t="s">
        <v>457</v>
      </c>
      <c r="AW2" s="27" t="s">
        <v>456</v>
      </c>
      <c r="AX2" s="31" t="s">
        <v>485</v>
      </c>
      <c r="AY2" s="67" t="s">
        <v>817</v>
      </c>
      <c r="AZ2" s="27" t="s">
        <v>486</v>
      </c>
    </row>
    <row r="3" spans="1:52" x14ac:dyDescent="0.3">
      <c r="A3" s="54" t="s">
        <v>127</v>
      </c>
      <c r="B3" s="1" t="s">
        <v>367</v>
      </c>
      <c r="C3" s="19">
        <v>15.3</v>
      </c>
      <c r="D3" s="32" t="str">
        <f>_xlfn.IFNA(VLOOKUP(Table2[[#This Row],[Name]],'Classic day 1 - players'!$A$2:$B$64,2,FALSE),"")</f>
        <v/>
      </c>
      <c r="E3" s="33" t="str">
        <f>IF(Table2[[#This Row],[Tee time1]]&lt;&gt;"",COUNTIF('Classic day 1 - players'!$B$2:$B$64,"="&amp;Table2[[#This Row],[Tee time1]]),"")</f>
        <v/>
      </c>
      <c r="F3" s="33" t="str">
        <f>_xlfn.IFNA(VLOOKUP(Table2[[#This Row],[Tee time1]],'Classic day 1 - groups'!$A$3:$F$20,6,FALSE),"")</f>
        <v/>
      </c>
      <c r="G3" s="11" t="str">
        <f>_xlfn.IFNA(VLOOKUP(Table2[[#This Row],[Tee time1]],'Classic day 1 - groups'!$A$3:$F$20,4,FALSE),"")</f>
        <v/>
      </c>
      <c r="H3" s="11" t="str">
        <f>_xlfn.IFNA(VLOOKUP(Table2[[#This Row],[Tee time1]],'Classic day 1 - groups'!$A$3:$F$20,5,FALSE),"")</f>
        <v/>
      </c>
      <c r="I3" s="68" t="str">
        <f>IFERROR((MAX(starting_interval,IF(Table2[[#This Row],[gap1]]="NA",Table2[[#This Row],[avg gap]],Table2[[#This Row],[gap1]]))-starting_interval)*Table2[[#This Row],[followers1]]/Table2[[#This Row],[group size]],"")</f>
        <v/>
      </c>
      <c r="J3" s="32" t="str">
        <f>_xlfn.IFNA(VLOOKUP(Table2[[#This Row],[Name]],'Classic day 2 - players'!$A$2:$B$64,2,FALSE),"")</f>
        <v/>
      </c>
      <c r="K3" s="33" t="str">
        <f>IF(Table2[[#This Row],[tee time2]]&lt;&gt;"",COUNTIF('Classic day 2 - players'!$B$2:$B$64,"="&amp;Table2[[#This Row],[tee time2]]),"")</f>
        <v/>
      </c>
      <c r="L3" s="33" t="str">
        <f>_xlfn.IFNA(VLOOKUP(Table2[[#This Row],[tee time2]],'Classic day 2 - groups'!$A$3:$F$20,6,FALSE),"")</f>
        <v/>
      </c>
      <c r="M3" s="11" t="str">
        <f>_xlfn.IFNA(VLOOKUP(Table2[[#This Row],[tee time2]],'Classic day 2 - groups'!$A$3:$F$20,4,FALSE),"")</f>
        <v/>
      </c>
      <c r="N3" s="11" t="str">
        <f>_xlfn.IFNA(VLOOKUP(Table2[[#This Row],[tee time2]],'Classic day 2 - groups'!$A$3:$F$20,5,FALSE),"")</f>
        <v/>
      </c>
      <c r="O3" s="68" t="str">
        <f>IFERROR((MAX(starting_interval,IF(Table2[[#This Row],[gap2]]="NA",Table2[[#This Row],[avg gap]],Table2[[#This Row],[gap2]]))-starting_interval)*Table2[[#This Row],[followers2]]/Table2[[#This Row],[group size2]],"")</f>
        <v/>
      </c>
      <c r="P3" s="32">
        <f>_xlfn.IFNA(VLOOKUP(Table2[[#This Row],[Name]],'Summer FD - players'!$A$2:$B$65,2,FALSE),"")</f>
        <v>0.32916666666666666</v>
      </c>
      <c r="Q3" s="59">
        <f>IF(Table2[[#This Row],[tee time3]]&lt;&gt;"",COUNTIF('Summer FD - players'!$B$2:$B$65,"="&amp;Table2[[#This Row],[tee time3]]),"")</f>
        <v>4</v>
      </c>
      <c r="R3" s="59">
        <f>_xlfn.IFNA(VLOOKUP(Table2[[#This Row],[tee time3]],'Summer FD - groups'!$A$3:$F$20,6,FALSE),"")</f>
        <v>64</v>
      </c>
      <c r="S3" s="11">
        <f>_xlfn.IFNA(VLOOKUP(Table2[[#This Row],[tee time3]],'Summer FD - groups'!$A$3:$F$20,4,FALSE),"")</f>
        <v>0.18333333333333329</v>
      </c>
      <c r="T3" s="11" t="str">
        <f>_xlfn.IFNA(VLOOKUP(Table2[[#This Row],[tee time3]],'Summer FD - groups'!$A$3:$F$20,5,FALSE),"")</f>
        <v>NA</v>
      </c>
      <c r="U3" s="68" t="str">
        <f>IF(Table2[[#This Row],[avg gap]]&lt;&gt;"",IFERROR((MAX(starting_interval,IF(Table2[[#This Row],[gap3]]="NA",Table2[[#This Row],[avg gap]],Table2[[#This Row],[gap3]]))-starting_interval)*Table2[[#This Row],[followers3]]/Table2[[#This Row],[group size3]],""),"")</f>
        <v/>
      </c>
      <c r="V3" s="32">
        <f>_xlfn.IFNA(VLOOKUP(Table2[[#This Row],[Name]],'6-6-6 - players'!$A$2:$B$69,2,FALSE),"")</f>
        <v>0.33333333333333331</v>
      </c>
      <c r="W3" s="59">
        <f>IF(Table2[[#This Row],[tee time4]]&lt;&gt;"",COUNTIF('6-6-6 - players'!$B$2:$B$69,"="&amp;Table2[[#This Row],[tee time4]]),"")</f>
        <v>4</v>
      </c>
      <c r="X3" s="59">
        <f>_xlfn.IFNA(VLOOKUP(Table2[[#This Row],[tee time4]],'6-6-6 - groups'!$A$3:$F$20,6,FALSE),"")</f>
        <v>68</v>
      </c>
      <c r="Y3" s="11">
        <f>_xlfn.IFNA(VLOOKUP(Table2[[#This Row],[tee time4]],'6-6-6 - groups'!$A$3:$F$20,4,FALSE),"")</f>
        <v>0.17569444444444443</v>
      </c>
      <c r="Z3" s="11" t="str">
        <f>_xlfn.IFNA(VLOOKUP(Table2[[#This Row],[tee time4]],'6-6-6 - groups'!$A$3:$F$20,5,FALSE),"")</f>
        <v>NA</v>
      </c>
      <c r="AA3" s="68" t="str">
        <f>IF(Table2[[#This Row],[avg gap]]&lt;&gt;"",IFERROR((MAX(starting_interval,IF(Table2[[#This Row],[gap4]]="NA",Table2[[#This Row],[avg gap]],Table2[[#This Row],[gap4]]))-starting_interval)*Table2[[#This Row],[followers4]]/Table2[[#This Row],[group size4]],""),"")</f>
        <v/>
      </c>
      <c r="AB3" s="32" t="str">
        <f>_xlfn.IFNA(VLOOKUP(Table2[[#This Row],[Name]],'Fall FD - players'!$A$2:$B$65,2,FALSE),"")</f>
        <v/>
      </c>
      <c r="AC3" s="59" t="str">
        <f>IF(Table2[[#This Row],[tee time5]]&lt;&gt;"",COUNTIF('Fall FD - players'!$B$2:$B$65,"="&amp;Table2[[#This Row],[tee time5]]),"")</f>
        <v/>
      </c>
      <c r="AD3" s="59" t="str">
        <f>_xlfn.IFNA(VLOOKUP(Table2[[#This Row],[tee time5]],'Fall FD - groups'!$A$3:$F$20,6,FALSE),"")</f>
        <v/>
      </c>
      <c r="AE3" s="11" t="str">
        <f>_xlfn.IFNA(VLOOKUP(Table2[[#This Row],[tee time5]],'Fall FD - groups'!$A$3:$F$20,4,FALSE),"")</f>
        <v/>
      </c>
      <c r="AF3" s="11" t="str">
        <f>IFERROR(MIN(_xlfn.IFNA(VLOOKUP(Table2[[#This Row],[tee time5]],'Fall FD - groups'!$A$3:$F$20,5,FALSE),""),starting_interval + Table2[[#This Row],[round5]] - standard_round_time),"")</f>
        <v/>
      </c>
      <c r="AG3" s="68" t="str">
        <f>IF(AND(Table2[[#This Row],[gap5]]="NA",Table2[[#This Row],[round5]]&lt;4/24),0,IFERROR((MAX(starting_interval,IF(Table2[[#This Row],[gap5]]="NA",Table2[[#This Row],[avg gap]],Table2[[#This Row],[gap5]]))-starting_interval)*Table2[[#This Row],[followers5]]/Table2[[#This Row],[group size5]],""))</f>
        <v/>
      </c>
      <c r="AH3" s="32">
        <f>_xlfn.IFNA(VLOOKUP(Table2[[#This Row],[Name]],'Stableford - players'!$A$2:$B$65,2,FALSE),"")</f>
        <v>0.33333333333333331</v>
      </c>
      <c r="AI3" s="59">
        <f>IF(Table2[[#This Row],[tee time6]]&lt;&gt;"",COUNTIF('Stableford - players'!$B$2:$B$65,"="&amp;Table2[[#This Row],[tee time6]]),"")</f>
        <v>4</v>
      </c>
      <c r="AJ3" s="59">
        <f>_xlfn.IFNA(VLOOKUP(Table2[[#This Row],[tee time6]],'Stableford - groups'!$A$3:$F$20,6,FALSE),"")</f>
        <v>60</v>
      </c>
      <c r="AK3" s="11">
        <f>_xlfn.IFNA(VLOOKUP(Table2[[#This Row],[tee time6]],'Stableford - groups'!$A$3:$F$20,4,FALSE),"")</f>
        <v>0.1701388888888889</v>
      </c>
      <c r="AL3" s="13" t="str">
        <f>_xlfn.IFNA(VLOOKUP(Table2[[#This Row],[tee time6]],'Stableford - groups'!$A$3:$F$20,5,FALSE),"")</f>
        <v>NA</v>
      </c>
      <c r="AM3" s="68">
        <f>IF(AND(Table2[[#This Row],[gap6]]="NA",Table2[[#This Row],[round6]]&lt;4/24),0,IFERROR((MAX(starting_interval,IF(Table2[[#This Row],[gap6]]="NA",Table2[[#This Row],[avg gap]],Table2[[#This Row],[gap6]]))-starting_interval)*Table2[[#This Row],[followers6]]/Table2[[#This Row],[group size6]],""))</f>
        <v>0</v>
      </c>
      <c r="AN3" s="32">
        <f>_xlfn.IFNA(VLOOKUP(Table2[[#This Row],[Name]],'Turkey Shoot - players'!$A$2:$B$65,2,FALSE),"")</f>
        <v>0.3611111111111111</v>
      </c>
      <c r="AO3" s="59">
        <f>IF(Table2[[#This Row],[tee time7]]&lt;&gt;"",COUNTIF('Turkey Shoot - players'!$B$2:$B$65,"="&amp;Table2[[#This Row],[tee time7]]),"")</f>
        <v>4</v>
      </c>
      <c r="AP3" s="59">
        <f>_xlfn.IFNA(VLOOKUP(Table2[[#This Row],[tee time7]],'Stableford - groups'!$A$3:$F$20,6,FALSE),"")</f>
        <v>44</v>
      </c>
      <c r="AQ3" s="11">
        <f>_xlfn.IFNA(VLOOKUP(Table2[[#This Row],[tee time7]],'Turkey Shoot - groups'!$A$3:$F$20,4,FALSE),"")</f>
        <v>0.1701388888888889</v>
      </c>
      <c r="AR3" s="13" t="str">
        <f>_xlfn.IFNA(VLOOKUP(Table2[[#This Row],[tee time7]],'Turkey Shoot - groups'!$A$3:$F$20,5,FALSE),"")</f>
        <v>NA</v>
      </c>
      <c r="AS3" s="68">
        <f>IF(AND(Table2[[#This Row],[gap7]]="NA",Table2[[#This Row],[round7]]&lt;4/24),0,IFERROR((MAX(starting_interval,IF(Table2[[#This Row],[gap7]]="NA",Table2[[#This Row],[avg gap]],Table2[[#This Row],[gap7]]))-starting_interval)*Table2[[#This Row],[followers7]]/Table2[[#This Row],[group size7]],""))</f>
        <v>0</v>
      </c>
      <c r="AT3" s="72">
        <f>COUNT(Table2[[#This Row],[Tee time1]],Table2[[#This Row],[tee time2]],Table2[[#This Row],[tee time3]],Table2[[#This Row],[tee time4]],Table2[[#This Row],[tee time5]],Table2[[#This Row],[tee time6]],Table2[[#This Row],[tee time7]])</f>
        <v>4</v>
      </c>
      <c r="AU3" s="4">
        <f>IFERROR(AVERAGE(Table2[[#This Row],[Tee time1]],Table2[[#This Row],[tee time2]],Table2[[#This Row],[tee time3]],Table2[[#This Row],[tee time4]],Table2[[#This Row],[tee time5]],Table2[[#This Row],[tee time6]],Table2[[#This Row],[tee time7]]),"")</f>
        <v>0.33923611111111113</v>
      </c>
      <c r="AV3" s="11">
        <f>IFERROR(MEDIAN(Table2[[#This Row],[round1]],Table2[[#This Row],[Round2]],Table2[[#This Row],[round3]],Table2[[#This Row],[round4]],Table2[[#This Row],[round5]],Table2[[#This Row],[round6]],Table2[[#This Row],[round7]]),"")</f>
        <v>0.17291666666666666</v>
      </c>
      <c r="AW3" s="11" t="str">
        <f>IFERROR(AVERAGE(Table2[[#This Row],[gap1]],Table2[[#This Row],[gap2]],Table2[[#This Row],[gap3]],Table2[[#This Row],[gap4]],Table2[[#This Row],[gap5]],Table2[[#This Row],[gap6]],Table2[[#This Row],[gap7]]),"")</f>
        <v/>
      </c>
      <c r="AX3" s="9" t="str">
        <f>IFERROR((Table2[[#This Row],[avg gap]]-starting_interval)*24*60*Table2[[#This Row],[Count]],"NA")</f>
        <v>NA</v>
      </c>
      <c r="AY3" s="68"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3" s="2"/>
    </row>
    <row r="4" spans="1:52" x14ac:dyDescent="0.3">
      <c r="A4" s="54" t="s">
        <v>162</v>
      </c>
      <c r="B4" s="1" t="s">
        <v>403</v>
      </c>
      <c r="C4" s="19">
        <v>21.6</v>
      </c>
      <c r="D4" s="32" t="str">
        <f>_xlfn.IFNA(VLOOKUP(Table2[[#This Row],[Name]],'Classic day 1 - players'!$A$2:$B$64,2,FALSE),"")</f>
        <v/>
      </c>
      <c r="E4" s="33" t="str">
        <f>IF(Table2[[#This Row],[Tee time1]]&lt;&gt;"",COUNTIF('Classic day 1 - players'!$B$2:$B$64,"="&amp;Table2[[#This Row],[Tee time1]]),"")</f>
        <v/>
      </c>
      <c r="F4" s="33" t="str">
        <f>_xlfn.IFNA(VLOOKUP(Table2[[#This Row],[Tee time1]],'Classic day 1 - groups'!$A$3:$F$20,6,FALSE),"")</f>
        <v/>
      </c>
      <c r="G4" s="11" t="str">
        <f>_xlfn.IFNA(VLOOKUP(Table2[[#This Row],[Tee time1]],'Classic day 1 - groups'!$A$3:$F$20,4,FALSE),"")</f>
        <v/>
      </c>
      <c r="H4" s="12" t="str">
        <f>_xlfn.IFNA(VLOOKUP(Table2[[#This Row],[Tee time1]],'Classic day 1 - groups'!$A$3:$F$20,5,FALSE),"")</f>
        <v/>
      </c>
      <c r="I4" s="69" t="str">
        <f>IFERROR((MAX(starting_interval,IF(Table2[[#This Row],[gap1]]="NA",Table2[[#This Row],[avg gap]],Table2[[#This Row],[gap1]]))-starting_interval)*Table2[[#This Row],[followers1]]/Table2[[#This Row],[group size]],"")</f>
        <v/>
      </c>
      <c r="J4" s="32" t="str">
        <f>_xlfn.IFNA(VLOOKUP(Table2[[#This Row],[Name]],'Classic day 2 - players'!$A$2:$B$64,2,FALSE),"")</f>
        <v/>
      </c>
      <c r="K4" s="33" t="str">
        <f>IF(Table2[[#This Row],[tee time2]]&lt;&gt;"",COUNTIF('Classic day 2 - players'!$B$2:$B$64,"="&amp;Table2[[#This Row],[tee time2]]),"")</f>
        <v/>
      </c>
      <c r="L4" s="33" t="str">
        <f>_xlfn.IFNA(VLOOKUP(Table2[[#This Row],[tee time2]],'Classic day 2 - groups'!$A$3:$F$20,6,FALSE),"")</f>
        <v/>
      </c>
      <c r="M4" s="4" t="str">
        <f>_xlfn.IFNA(VLOOKUP(Table2[[#This Row],[tee time2]],'Classic day 2 - groups'!$A$3:$F$20,4,FALSE),"")</f>
        <v/>
      </c>
      <c r="N4" s="65" t="str">
        <f>_xlfn.IFNA(VLOOKUP(Table2[[#This Row],[tee time2]],'Classic day 2 - groups'!$A$3:$F$20,5,FALSE),"")</f>
        <v/>
      </c>
      <c r="O4" s="69" t="str">
        <f>IFERROR((MAX(starting_interval,IF(Table2[[#This Row],[gap2]]="NA",Table2[[#This Row],[avg gap]],Table2[[#This Row],[gap2]]))-starting_interval)*Table2[[#This Row],[followers2]]/Table2[[#This Row],[group size2]],"")</f>
        <v/>
      </c>
      <c r="P4" s="32">
        <f>_xlfn.IFNA(VLOOKUP(Table2[[#This Row],[Name]],'Summer FD - players'!$A$2:$B$65,2,FALSE),"")</f>
        <v>0.32916666666666666</v>
      </c>
      <c r="Q4" s="59">
        <f>IF(Table2[[#This Row],[tee time3]]&lt;&gt;"",COUNTIF('Summer FD - players'!$B$2:$B$65,"="&amp;Table2[[#This Row],[tee time3]]),"")</f>
        <v>4</v>
      </c>
      <c r="R4" s="59">
        <f>_xlfn.IFNA(VLOOKUP(Table2[[#This Row],[tee time3]],'Summer FD - groups'!$A$3:$F$20,6,FALSE),"")</f>
        <v>64</v>
      </c>
      <c r="S4" s="4">
        <f>_xlfn.IFNA(VLOOKUP(Table2[[#This Row],[tee time3]],'Summer FD - groups'!$A$3:$F$20,4,FALSE),"")</f>
        <v>0.18333333333333329</v>
      </c>
      <c r="T4" s="13" t="str">
        <f>_xlfn.IFNA(VLOOKUP(Table2[[#This Row],[tee time3]],'Summer FD - groups'!$A$3:$F$20,5,FALSE),"")</f>
        <v>NA</v>
      </c>
      <c r="U4" s="69" t="str">
        <f>IF(Table2[[#This Row],[avg gap]]&lt;&gt;"",IFERROR((MAX(starting_interval,IF(Table2[[#This Row],[gap3]]="NA",Table2[[#This Row],[avg gap]],Table2[[#This Row],[gap3]]))-starting_interval)*Table2[[#This Row],[followers3]]/Table2[[#This Row],[group size3]],""),"")</f>
        <v/>
      </c>
      <c r="V4" s="32" t="str">
        <f>_xlfn.IFNA(VLOOKUP(Table2[[#This Row],[Name]],'6-6-6 - players'!$A$2:$B$69,2,FALSE),"")</f>
        <v/>
      </c>
      <c r="W4" s="59" t="str">
        <f>IF(Table2[[#This Row],[tee time4]]&lt;&gt;"",COUNTIF('6-6-6 - players'!$B$2:$B$69,"="&amp;Table2[[#This Row],[tee time4]]),"")</f>
        <v/>
      </c>
      <c r="X4" s="59" t="str">
        <f>_xlfn.IFNA(VLOOKUP(Table2[[#This Row],[tee time4]],'6-6-6 - groups'!$A$3:$F$20,6,FALSE),"")</f>
        <v/>
      </c>
      <c r="Y4" s="4" t="str">
        <f>_xlfn.IFNA(VLOOKUP(Table2[[#This Row],[tee time4]],'6-6-6 - groups'!$A$3:$F$20,4,FALSE),"")</f>
        <v/>
      </c>
      <c r="Z4" s="13" t="str">
        <f>_xlfn.IFNA(VLOOKUP(Table2[[#This Row],[tee time4]],'6-6-6 - groups'!$A$3:$F$20,5,FALSE),"")</f>
        <v/>
      </c>
      <c r="AA4" s="69" t="str">
        <f>IF(Table2[[#This Row],[avg gap]]&lt;&gt;"",IFERROR((MAX(starting_interval,IF(Table2[[#This Row],[gap4]]="NA",Table2[[#This Row],[avg gap]],Table2[[#This Row],[gap4]]))-starting_interval)*Table2[[#This Row],[followers4]]/Table2[[#This Row],[group size4]],""),"")</f>
        <v/>
      </c>
      <c r="AB4" s="32" t="str">
        <f>_xlfn.IFNA(VLOOKUP(Table2[[#This Row],[Name]],'Fall FD - players'!$A$2:$B$65,2,FALSE),"")</f>
        <v/>
      </c>
      <c r="AC4" s="59" t="str">
        <f>IF(Table2[[#This Row],[tee time5]]&lt;&gt;"",COUNTIF('Fall FD - players'!$B$2:$B$65,"="&amp;Table2[[#This Row],[tee time5]]),"")</f>
        <v/>
      </c>
      <c r="AD4" s="59" t="str">
        <f>_xlfn.IFNA(VLOOKUP(Table2[[#This Row],[tee time5]],'Fall FD - groups'!$A$3:$F$20,6,FALSE),"")</f>
        <v/>
      </c>
      <c r="AE4" s="4" t="str">
        <f>_xlfn.IFNA(VLOOKUP(Table2[[#This Row],[tee time5]],'Fall FD - groups'!$A$3:$F$20,4,FALSE),"")</f>
        <v/>
      </c>
      <c r="AF4" s="13" t="str">
        <f>IFERROR(MIN(_xlfn.IFNA(VLOOKUP(Table2[[#This Row],[tee time5]],'Fall FD - groups'!$A$3:$F$20,5,FALSE),""),starting_interval + Table2[[#This Row],[round5]] - standard_round_time),"")</f>
        <v/>
      </c>
      <c r="AG4" s="69" t="str">
        <f>IF(AND(Table2[[#This Row],[gap5]]="NA",Table2[[#This Row],[round5]]&lt;4/24),0,IFERROR((MAX(starting_interval,IF(Table2[[#This Row],[gap5]]="NA",Table2[[#This Row],[avg gap]],Table2[[#This Row],[gap5]]))-starting_interval)*Table2[[#This Row],[followers5]]/Table2[[#This Row],[group size5]],""))</f>
        <v/>
      </c>
      <c r="AH4" s="32" t="str">
        <f>_xlfn.IFNA(VLOOKUP(Table2[[#This Row],[Name]],'Stableford - players'!$A$2:$B$65,2,FALSE),"")</f>
        <v/>
      </c>
      <c r="AI4" s="59" t="str">
        <f>IF(Table2[[#This Row],[tee time6]]&lt;&gt;"",COUNTIF('Stableford - players'!$B$2:$B$65,"="&amp;Table2[[#This Row],[tee time6]]),"")</f>
        <v/>
      </c>
      <c r="AJ4" s="59" t="str">
        <f>_xlfn.IFNA(VLOOKUP(Table2[[#This Row],[tee time6]],'Stableford - groups'!$A$3:$F$20,6,FALSE),"")</f>
        <v/>
      </c>
      <c r="AK4" s="11" t="str">
        <f>_xlfn.IFNA(VLOOKUP(Table2[[#This Row],[tee time6]],'Stableford - groups'!$A$3:$F$20,4,FALSE),"")</f>
        <v/>
      </c>
      <c r="AL4" s="13" t="str">
        <f>_xlfn.IFNA(VLOOKUP(Table2[[#This Row],[tee time6]],'Stableford - groups'!$A$3:$F$20,5,FALSE),"")</f>
        <v/>
      </c>
      <c r="AM4" s="68" t="str">
        <f>IF(AND(Table2[[#This Row],[gap6]]="NA",Table2[[#This Row],[round6]]&lt;4/24),0,IFERROR((MAX(starting_interval,IF(Table2[[#This Row],[gap6]]="NA",Table2[[#This Row],[avg gap]],Table2[[#This Row],[gap6]]))-starting_interval)*Table2[[#This Row],[followers6]]/Table2[[#This Row],[group size6]],""))</f>
        <v/>
      </c>
      <c r="AN4" s="32" t="str">
        <f>_xlfn.IFNA(VLOOKUP(Table2[[#This Row],[Name]],'Turkey Shoot - players'!$A$2:$B$65,2,FALSE),"")</f>
        <v/>
      </c>
      <c r="AO4" s="59" t="str">
        <f>IF(Table2[[#This Row],[tee time7]]&lt;&gt;"",COUNTIF('Turkey Shoot - players'!$B$2:$B$65,"="&amp;Table2[[#This Row],[tee time7]]),"")</f>
        <v/>
      </c>
      <c r="AP4" s="59" t="str">
        <f>_xlfn.IFNA(VLOOKUP(Table2[[#This Row],[tee time7]],'Stableford - groups'!$A$3:$F$20,6,FALSE),"")</f>
        <v/>
      </c>
      <c r="AQ4" s="11" t="str">
        <f>_xlfn.IFNA(VLOOKUP(Table2[[#This Row],[tee time7]],'Turkey Shoot - groups'!$A$3:$F$20,4,FALSE),"")</f>
        <v/>
      </c>
      <c r="AR4" s="13" t="str">
        <f>_xlfn.IFNA(VLOOKUP(Table2[[#This Row],[tee time7]],'Turkey Shoot - groups'!$A$3:$F$20,5,FALSE),"")</f>
        <v/>
      </c>
      <c r="AS4" s="68" t="str">
        <f>IF(AND(Table2[[#This Row],[gap7]]="NA",Table2[[#This Row],[round7]]&lt;4/24),0,IFERROR((MAX(starting_interval,IF(Table2[[#This Row],[gap7]]="NA",Table2[[#This Row],[avg gap]],Table2[[#This Row],[gap7]]))-starting_interval)*Table2[[#This Row],[followers7]]/Table2[[#This Row],[group size7]],""))</f>
        <v/>
      </c>
      <c r="AT4" s="72">
        <f>COUNT(Table2[[#This Row],[Tee time1]],Table2[[#This Row],[tee time2]],Table2[[#This Row],[tee time3]],Table2[[#This Row],[tee time4]],Table2[[#This Row],[tee time5]],Table2[[#This Row],[tee time6]],Table2[[#This Row],[tee time7]])</f>
        <v>1</v>
      </c>
      <c r="AU4" s="4">
        <f>IFERROR(AVERAGE(Table2[[#This Row],[Tee time1]],Table2[[#This Row],[tee time2]],Table2[[#This Row],[tee time3]],Table2[[#This Row],[tee time4]],Table2[[#This Row],[tee time5]],Table2[[#This Row],[tee time6]],Table2[[#This Row],[tee time7]]),"")</f>
        <v>0.32916666666666666</v>
      </c>
      <c r="AV4" s="11">
        <f>IFERROR(MEDIAN(Table2[[#This Row],[round1]],Table2[[#This Row],[Round2]],Table2[[#This Row],[round3]],Table2[[#This Row],[round4]],Table2[[#This Row],[round5]],Table2[[#This Row],[round6]],Table2[[#This Row],[round7]]),"")</f>
        <v>0.18333333333333329</v>
      </c>
      <c r="AW4" s="11" t="str">
        <f>IFERROR(AVERAGE(Table2[[#This Row],[gap1]],Table2[[#This Row],[gap2]],Table2[[#This Row],[gap3]],Table2[[#This Row],[gap4]],Table2[[#This Row],[gap5]],Table2[[#This Row],[gap6]],Table2[[#This Row],[gap7]]),"")</f>
        <v/>
      </c>
      <c r="AX4" s="9" t="str">
        <f>IFERROR((Table2[[#This Row],[avg gap]]-starting_interval)*24*60*Table2[[#This Row],[Count]],"NA")</f>
        <v>NA</v>
      </c>
      <c r="AY4"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4" s="2"/>
    </row>
    <row r="5" spans="1:52" x14ac:dyDescent="0.3">
      <c r="A5" s="10" t="s">
        <v>144</v>
      </c>
      <c r="B5" s="1" t="s">
        <v>385</v>
      </c>
      <c r="C5" s="19">
        <v>14.1</v>
      </c>
      <c r="D5" s="32" t="str">
        <f>_xlfn.IFNA(VLOOKUP(Table2[[#This Row],[Name]],'Classic day 1 - players'!$A$2:$B$64,2,FALSE),"")</f>
        <v/>
      </c>
      <c r="E5" s="33" t="str">
        <f>IF(Table2[[#This Row],[Tee time1]]&lt;&gt;"",COUNTIF('Classic day 1 - players'!$B$2:$B$64,"="&amp;Table2[[#This Row],[Tee time1]]),"")</f>
        <v/>
      </c>
      <c r="F5" s="4" t="str">
        <f>_xlfn.IFNA(VLOOKUP(Table2[[#This Row],[Tee time1]],'Classic day 1 - groups'!$A$3:$F$20,6,FALSE),"")</f>
        <v/>
      </c>
      <c r="G5" s="11" t="str">
        <f>_xlfn.IFNA(VLOOKUP(Table2[[#This Row],[Tee time1]],'Classic day 1 - groups'!$A$3:$F$20,4,FALSE),"")</f>
        <v/>
      </c>
      <c r="H5" s="12" t="str">
        <f>_xlfn.IFNA(VLOOKUP(Table2[[#This Row],[Tee time1]],'Classic day 1 - groups'!$A$3:$F$20,5,FALSE),"")</f>
        <v/>
      </c>
      <c r="I5" s="69" t="str">
        <f>IFERROR((MAX(starting_interval,IF(Table2[[#This Row],[gap1]]="NA",Table2[[#This Row],[avg gap]],Table2[[#This Row],[gap1]]))-starting_interval)*Table2[[#This Row],[followers1]]/Table2[[#This Row],[group size]],"")</f>
        <v/>
      </c>
      <c r="J5" s="32" t="str">
        <f>_xlfn.IFNA(VLOOKUP(Table2[[#This Row],[Name]],'Classic day 2 - players'!$A$2:$B$64,2,FALSE),"")</f>
        <v/>
      </c>
      <c r="K5" s="4" t="str">
        <f>IF(Table2[[#This Row],[tee time2]]&lt;&gt;"",COUNTIF('Classic day 2 - players'!$B$2:$B$64,"="&amp;Table2[[#This Row],[tee time2]]),"")</f>
        <v/>
      </c>
      <c r="L5" s="4" t="str">
        <f>_xlfn.IFNA(VLOOKUP(Table2[[#This Row],[tee time2]],'Classic day 2 - groups'!$A$3:$F$20,6,FALSE),"")</f>
        <v/>
      </c>
      <c r="M5" s="4" t="str">
        <f>_xlfn.IFNA(VLOOKUP(Table2[[#This Row],[tee time2]],'Classic day 2 - groups'!$A$3:$F$20,4,FALSE),"")</f>
        <v/>
      </c>
      <c r="N5" s="65" t="str">
        <f>_xlfn.IFNA(VLOOKUP(Table2[[#This Row],[tee time2]],'Classic day 2 - groups'!$A$3:$F$20,5,FALSE),"")</f>
        <v/>
      </c>
      <c r="O5" s="69" t="str">
        <f>IFERROR((MAX(starting_interval,IF(Table2[[#This Row],[gap2]]="NA",Table2[[#This Row],[avg gap]],Table2[[#This Row],[gap2]]))-starting_interval)*Table2[[#This Row],[followers2]]/Table2[[#This Row],[group size2]],"")</f>
        <v/>
      </c>
      <c r="P5" s="32" t="str">
        <f>_xlfn.IFNA(VLOOKUP(Table2[[#This Row],[Name]],'Summer FD - players'!$A$2:$B$65,2,FALSE),"")</f>
        <v/>
      </c>
      <c r="Q5" s="59" t="str">
        <f>IF(Table2[[#This Row],[tee time3]]&lt;&gt;"",COUNTIF('Summer FD - players'!$B$2:$B$65,"="&amp;Table2[[#This Row],[tee time3]]),"")</f>
        <v/>
      </c>
      <c r="R5" s="59" t="str">
        <f>_xlfn.IFNA(VLOOKUP(Table2[[#This Row],[tee time3]],'Summer FD - groups'!$A$3:$F$20,6,FALSE),"")</f>
        <v/>
      </c>
      <c r="S5" s="4" t="str">
        <f>_xlfn.IFNA(VLOOKUP(Table2[[#This Row],[tee time3]],'Summer FD - groups'!$A$3:$F$20,4,FALSE),"")</f>
        <v/>
      </c>
      <c r="T5" s="13" t="str">
        <f>_xlfn.IFNA(VLOOKUP(Table2[[#This Row],[tee time3]],'Summer FD - groups'!$A$3:$F$20,5,FALSE),"")</f>
        <v/>
      </c>
      <c r="U5" s="69" t="str">
        <f>IF(Table2[[#This Row],[avg gap]]&lt;&gt;"",IFERROR((MAX(starting_interval,IF(Table2[[#This Row],[gap3]]="NA",Table2[[#This Row],[avg gap]],Table2[[#This Row],[gap3]]))-starting_interval)*Table2[[#This Row],[followers3]]/Table2[[#This Row],[group size3]],""),"")</f>
        <v/>
      </c>
      <c r="V5" s="32" t="str">
        <f>_xlfn.IFNA(VLOOKUP(Table2[[#This Row],[Name]],'6-6-6 - players'!$A$2:$B$69,2,FALSE),"")</f>
        <v/>
      </c>
      <c r="W5" s="59" t="str">
        <f>IF(Table2[[#This Row],[tee time4]]&lt;&gt;"",COUNTIF('6-6-6 - players'!$B$2:$B$69,"="&amp;Table2[[#This Row],[tee time4]]),"")</f>
        <v/>
      </c>
      <c r="X5" s="59" t="str">
        <f>_xlfn.IFNA(VLOOKUP(Table2[[#This Row],[tee time4]],'6-6-6 - groups'!$A$3:$F$20,6,FALSE),"")</f>
        <v/>
      </c>
      <c r="Y5" s="4" t="str">
        <f>_xlfn.IFNA(VLOOKUP(Table2[[#This Row],[tee time4]],'6-6-6 - groups'!$A$3:$F$20,4,FALSE),"")</f>
        <v/>
      </c>
      <c r="Z5" s="13" t="str">
        <f>_xlfn.IFNA(VLOOKUP(Table2[[#This Row],[tee time4]],'6-6-6 - groups'!$A$3:$F$20,5,FALSE),"")</f>
        <v/>
      </c>
      <c r="AA5" s="69" t="str">
        <f>IF(Table2[[#This Row],[avg gap]]&lt;&gt;"",IFERROR((MAX(starting_interval,IF(Table2[[#This Row],[gap4]]="NA",Table2[[#This Row],[avg gap]],Table2[[#This Row],[gap4]]))-starting_interval)*Table2[[#This Row],[followers4]]/Table2[[#This Row],[group size4]],""),"")</f>
        <v/>
      </c>
      <c r="AB5" s="32" t="str">
        <f>_xlfn.IFNA(VLOOKUP(Table2[[#This Row],[Name]],'Fall FD - players'!$A$2:$B$65,2,FALSE),"")</f>
        <v/>
      </c>
      <c r="AC5" s="59" t="str">
        <f>IF(Table2[[#This Row],[tee time5]]&lt;&gt;"",COUNTIF('Fall FD - players'!$B$2:$B$65,"="&amp;Table2[[#This Row],[tee time5]]),"")</f>
        <v/>
      </c>
      <c r="AD5" s="59" t="str">
        <f>_xlfn.IFNA(VLOOKUP(Table2[[#This Row],[tee time5]],'Fall FD - groups'!$A$3:$F$20,6,FALSE),"")</f>
        <v/>
      </c>
      <c r="AE5" s="4" t="str">
        <f>_xlfn.IFNA(VLOOKUP(Table2[[#This Row],[tee time5]],'Fall FD - groups'!$A$3:$F$20,4,FALSE),"")</f>
        <v/>
      </c>
      <c r="AF5" s="13" t="str">
        <f>IFERROR(MIN(_xlfn.IFNA(VLOOKUP(Table2[[#This Row],[tee time5]],'Fall FD - groups'!$A$3:$F$20,5,FALSE),""),starting_interval + Table2[[#This Row],[round5]] - standard_round_time),"")</f>
        <v/>
      </c>
      <c r="AG5" s="69" t="str">
        <f>IF(AND(Table2[[#This Row],[gap5]]="NA",Table2[[#This Row],[round5]]&lt;4/24),0,IFERROR((MAX(starting_interval,IF(Table2[[#This Row],[gap5]]="NA",Table2[[#This Row],[avg gap]],Table2[[#This Row],[gap5]]))-starting_interval)*Table2[[#This Row],[followers5]]/Table2[[#This Row],[group size5]],""))</f>
        <v/>
      </c>
      <c r="AH5" s="32">
        <f>_xlfn.IFNA(VLOOKUP(Table2[[#This Row],[Name]],'Stableford - players'!$A$2:$B$65,2,FALSE),"")</f>
        <v>0.33333333333333331</v>
      </c>
      <c r="AI5" s="59">
        <f>IF(Table2[[#This Row],[tee time6]]&lt;&gt;"",COUNTIF('Stableford - players'!$B$2:$B$65,"="&amp;Table2[[#This Row],[tee time6]]),"")</f>
        <v>4</v>
      </c>
      <c r="AJ5" s="59">
        <f>_xlfn.IFNA(VLOOKUP(Table2[[#This Row],[tee time6]],'Stableford - groups'!$A$3:$F$20,6,FALSE),"")</f>
        <v>60</v>
      </c>
      <c r="AK5" s="11">
        <f>_xlfn.IFNA(VLOOKUP(Table2[[#This Row],[tee time6]],'Stableford - groups'!$A$3:$F$20,4,FALSE),"")</f>
        <v>0.1701388888888889</v>
      </c>
      <c r="AL5" s="13" t="str">
        <f>_xlfn.IFNA(VLOOKUP(Table2[[#This Row],[tee time6]],'Stableford - groups'!$A$3:$F$20,5,FALSE),"")</f>
        <v>NA</v>
      </c>
      <c r="AM5" s="68">
        <f>IF(AND(Table2[[#This Row],[gap6]]="NA",Table2[[#This Row],[round6]]&lt;4/24),0,IFERROR((MAX(starting_interval,IF(Table2[[#This Row],[gap6]]="NA",Table2[[#This Row],[avg gap]],Table2[[#This Row],[gap6]]))-starting_interval)*Table2[[#This Row],[followers6]]/Table2[[#This Row],[group size6]],""))</f>
        <v>0</v>
      </c>
      <c r="AN5" s="32" t="str">
        <f>_xlfn.IFNA(VLOOKUP(Table2[[#This Row],[Name]],'Turkey Shoot - players'!$A$2:$B$65,2,FALSE),"")</f>
        <v/>
      </c>
      <c r="AO5" s="59" t="str">
        <f>IF(Table2[[#This Row],[tee time7]]&lt;&gt;"",COUNTIF('Turkey Shoot - players'!$B$2:$B$65,"="&amp;Table2[[#This Row],[tee time7]]),"")</f>
        <v/>
      </c>
      <c r="AP5" s="59" t="str">
        <f>_xlfn.IFNA(VLOOKUP(Table2[[#This Row],[tee time7]],'Stableford - groups'!$A$3:$F$20,6,FALSE),"")</f>
        <v/>
      </c>
      <c r="AQ5" s="11" t="str">
        <f>_xlfn.IFNA(VLOOKUP(Table2[[#This Row],[tee time7]],'Turkey Shoot - groups'!$A$3:$F$20,4,FALSE),"")</f>
        <v/>
      </c>
      <c r="AR5" s="13" t="str">
        <f>_xlfn.IFNA(VLOOKUP(Table2[[#This Row],[tee time7]],'Turkey Shoot - groups'!$A$3:$F$20,5,FALSE),"")</f>
        <v/>
      </c>
      <c r="AS5" s="68" t="str">
        <f>IF(AND(Table2[[#This Row],[gap7]]="NA",Table2[[#This Row],[round7]]&lt;4/24),0,IFERROR((MAX(starting_interval,IF(Table2[[#This Row],[gap7]]="NA",Table2[[#This Row],[avg gap]],Table2[[#This Row],[gap7]]))-starting_interval)*Table2[[#This Row],[followers7]]/Table2[[#This Row],[group size7]],""))</f>
        <v/>
      </c>
      <c r="AT5" s="72">
        <f>COUNT(Table2[[#This Row],[Tee time1]],Table2[[#This Row],[tee time2]],Table2[[#This Row],[tee time3]],Table2[[#This Row],[tee time4]],Table2[[#This Row],[tee time5]],Table2[[#This Row],[tee time6]],Table2[[#This Row],[tee time7]])</f>
        <v>1</v>
      </c>
      <c r="AU5" s="4">
        <f>IFERROR(AVERAGE(Table2[[#This Row],[Tee time1]],Table2[[#This Row],[tee time2]],Table2[[#This Row],[tee time3]],Table2[[#This Row],[tee time4]],Table2[[#This Row],[tee time5]],Table2[[#This Row],[tee time6]],Table2[[#This Row],[tee time7]]),"")</f>
        <v>0.33333333333333331</v>
      </c>
      <c r="AV5" s="11">
        <f>IFERROR(MEDIAN(Table2[[#This Row],[round1]],Table2[[#This Row],[Round2]],Table2[[#This Row],[round3]],Table2[[#This Row],[round4]],Table2[[#This Row],[round5]],Table2[[#This Row],[round6]],Table2[[#This Row],[round7]]),"")</f>
        <v>0.1701388888888889</v>
      </c>
      <c r="AW5" s="11" t="str">
        <f>IFERROR(AVERAGE(Table2[[#This Row],[gap1]],Table2[[#This Row],[gap2]],Table2[[#This Row],[gap3]],Table2[[#This Row],[gap4]],Table2[[#This Row],[gap5]],Table2[[#This Row],[gap6]],Table2[[#This Row],[gap7]]),"")</f>
        <v/>
      </c>
      <c r="AX5" s="9" t="str">
        <f>IFERROR((Table2[[#This Row],[avg gap]]-starting_interval)*24*60*Table2[[#This Row],[Count]],"NA")</f>
        <v>NA</v>
      </c>
      <c r="AY5"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5" s="2"/>
    </row>
    <row r="6" spans="1:52" x14ac:dyDescent="0.3">
      <c r="A6" s="10" t="s">
        <v>12</v>
      </c>
      <c r="B6" s="1" t="s">
        <v>250</v>
      </c>
      <c r="C6" s="19">
        <v>22.6</v>
      </c>
      <c r="D6" s="32">
        <f>_xlfn.IFNA(VLOOKUP(Table2[[#This Row],[Name]],'Classic day 1 - players'!$A$2:$B$64,2,FALSE),"")</f>
        <v>0.33333333333333331</v>
      </c>
      <c r="E6" s="33">
        <f>IF(Table2[[#This Row],[Tee time1]]&lt;&gt;"",COUNTIF('Classic day 1 - players'!$B$2:$B$64,"="&amp;Table2[[#This Row],[Tee time1]]),"")</f>
        <v>4</v>
      </c>
      <c r="F6" s="33">
        <f>_xlfn.IFNA(VLOOKUP(Table2[[#This Row],[Tee time1]],'Classic day 1 - groups'!$A$3:$F$20,6,FALSE),"")</f>
        <v>68</v>
      </c>
      <c r="G6" s="11">
        <f>_xlfn.IFNA(VLOOKUP(Table2[[#This Row],[Tee time1]],'Classic day 1 - groups'!$A$3:$F$20,4,FALSE),"")</f>
        <v>0.19444444444444448</v>
      </c>
      <c r="H6" s="12" t="str">
        <f>_xlfn.IFNA(VLOOKUP(Table2[[#This Row],[Tee time1]],'Classic day 1 - groups'!$A$3:$F$20,5,FALSE),"")</f>
        <v>NA</v>
      </c>
      <c r="I6" s="69">
        <f>IFERROR((MAX(starting_interval,IF(Table2[[#This Row],[gap1]]="NA",Table2[[#This Row],[avg gap]],Table2[[#This Row],[gap1]]))-starting_interval)*Table2[[#This Row],[followers1]]/Table2[[#This Row],[group size]],"")</f>
        <v>0.10624999999999998</v>
      </c>
      <c r="J6" s="32">
        <f>_xlfn.IFNA(VLOOKUP(Table2[[#This Row],[Name]],'Classic day 2 - players'!$A$2:$B$64,2,FALSE),"")</f>
        <v>0.34583333333333338</v>
      </c>
      <c r="K6" s="33">
        <f>IF(Table2[[#This Row],[tee time2]]&lt;&gt;"",COUNTIF('Classic day 2 - players'!$B$2:$B$64,"="&amp;Table2[[#This Row],[tee time2]]),"")</f>
        <v>4</v>
      </c>
      <c r="L6" s="33">
        <f>_xlfn.IFNA(VLOOKUP(Table2[[#This Row],[tee time2]],'Classic day 2 - groups'!$A$3:$F$20,6,FALSE),"")</f>
        <v>44</v>
      </c>
      <c r="M6" s="4">
        <f>_xlfn.IFNA(VLOOKUP(Table2[[#This Row],[tee time2]],'Classic day 2 - groups'!$A$3:$F$20,4,FALSE),"")</f>
        <v>0.1875</v>
      </c>
      <c r="N6" s="65">
        <f>_xlfn.IFNA(VLOOKUP(Table2[[#This Row],[tee time2]],'Classic day 2 - groups'!$A$3:$F$20,5,FALSE),"")</f>
        <v>2.4305555555555556E-2</v>
      </c>
      <c r="O6" s="69">
        <f>IFERROR((MAX(starting_interval,IF(Table2[[#This Row],[gap2]]="NA",Table2[[#This Row],[avg gap]],Table2[[#This Row],[gap2]]))-starting_interval)*Table2[[#This Row],[followers2]]/Table2[[#This Row],[group size2]],"")</f>
        <v>0.19097222222222224</v>
      </c>
      <c r="P6" s="32">
        <f>_xlfn.IFNA(VLOOKUP(Table2[[#This Row],[Name]],'Summer FD - players'!$A$2:$B$65,2,FALSE),"")</f>
        <v>0.33611111111111108</v>
      </c>
      <c r="Q6" s="59">
        <f>IF(Table2[[#This Row],[tee time3]]&lt;&gt;"",COUNTIF('Summer FD - players'!$B$2:$B$65,"="&amp;Table2[[#This Row],[tee time3]]),"")</f>
        <v>4</v>
      </c>
      <c r="R6" s="59">
        <f>_xlfn.IFNA(VLOOKUP(Table2[[#This Row],[tee time3]],'Summer FD - groups'!$A$3:$F$20,6,FALSE),"")</f>
        <v>60</v>
      </c>
      <c r="S6" s="4">
        <f>_xlfn.IFNA(VLOOKUP(Table2[[#This Row],[tee time3]],'Summer FD - groups'!$A$3:$F$20,4,FALSE),"")</f>
        <v>0.18680555555555556</v>
      </c>
      <c r="T6" s="13">
        <f>_xlfn.IFNA(VLOOKUP(Table2[[#This Row],[tee time3]],'Summer FD - groups'!$A$3:$F$20,5,FALSE),"")</f>
        <v>1.1805555555555625E-2</v>
      </c>
      <c r="U6" s="69">
        <f>IF(Table2[[#This Row],[avg gap]]&lt;&gt;"",IFERROR((MAX(starting_interval,IF(Table2[[#This Row],[gap3]]="NA",Table2[[#This Row],[avg gap]],Table2[[#This Row],[gap3]]))-starting_interval)*Table2[[#This Row],[followers3]]/Table2[[#This Row],[group size3]],""),"")</f>
        <v>7.2916666666667712E-2</v>
      </c>
      <c r="V6" s="32" t="str">
        <f>_xlfn.IFNA(VLOOKUP(Table2[[#This Row],[Name]],'6-6-6 - players'!$A$2:$B$69,2,FALSE),"")</f>
        <v/>
      </c>
      <c r="W6" s="59" t="str">
        <f>IF(Table2[[#This Row],[tee time4]]&lt;&gt;"",COUNTIF('6-6-6 - players'!$B$2:$B$69,"="&amp;Table2[[#This Row],[tee time4]]),"")</f>
        <v/>
      </c>
      <c r="X6" s="59" t="str">
        <f>_xlfn.IFNA(VLOOKUP(Table2[[#This Row],[tee time4]],'6-6-6 - groups'!$A$3:$F$20,6,FALSE),"")</f>
        <v/>
      </c>
      <c r="Y6" s="4" t="str">
        <f>_xlfn.IFNA(VLOOKUP(Table2[[#This Row],[tee time4]],'6-6-6 - groups'!$A$3:$F$20,4,FALSE),"")</f>
        <v/>
      </c>
      <c r="Z6" s="13" t="str">
        <f>_xlfn.IFNA(VLOOKUP(Table2[[#This Row],[tee time4]],'6-6-6 - groups'!$A$3:$F$20,5,FALSE),"")</f>
        <v/>
      </c>
      <c r="AA6" s="69" t="str">
        <f>IF(Table2[[#This Row],[avg gap]]&lt;&gt;"",IFERROR((MAX(starting_interval,IF(Table2[[#This Row],[gap4]]="NA",Table2[[#This Row],[avg gap]],Table2[[#This Row],[gap4]]))-starting_interval)*Table2[[#This Row],[followers4]]/Table2[[#This Row],[group size4]],""),"")</f>
        <v/>
      </c>
      <c r="AB6" s="32">
        <f>_xlfn.IFNA(VLOOKUP(Table2[[#This Row],[Name]],'Fall FD - players'!$A$2:$B$65,2,FALSE),"")</f>
        <v>0.37916666666666665</v>
      </c>
      <c r="AC6" s="59">
        <f>IF(Table2[[#This Row],[tee time5]]&lt;&gt;"",COUNTIF('Fall FD - players'!$B$2:$B$65,"="&amp;Table2[[#This Row],[tee time5]]),"")</f>
        <v>4</v>
      </c>
      <c r="AD6" s="59">
        <f>_xlfn.IFNA(VLOOKUP(Table2[[#This Row],[tee time5]],'Fall FD - groups'!$A$3:$F$20,6,FALSE),"")</f>
        <v>44</v>
      </c>
      <c r="AE6" s="4">
        <f>_xlfn.IFNA(VLOOKUP(Table2[[#This Row],[tee time5]],'Fall FD - groups'!$A$3:$F$20,4,FALSE),"")</f>
        <v>0.18124999999999997</v>
      </c>
      <c r="AF6" s="13">
        <f>IFERROR(MIN(_xlfn.IFNA(VLOOKUP(Table2[[#This Row],[tee time5]],'Fall FD - groups'!$A$3:$F$20,5,FALSE),""),starting_interval + Table2[[#This Row],[round5]] - standard_round_time),"")</f>
        <v>1.4583333333333282E-2</v>
      </c>
      <c r="AG6" s="69">
        <f>IF(AND(Table2[[#This Row],[gap5]]="NA",Table2[[#This Row],[round5]]&lt;4/24),0,IFERROR((MAX(starting_interval,IF(Table2[[#This Row],[gap5]]="NA",Table2[[#This Row],[avg gap]],Table2[[#This Row],[gap5]]))-starting_interval)*Table2[[#This Row],[followers5]]/Table2[[#This Row],[group size5]],""))</f>
        <v>8.4027777777777216E-2</v>
      </c>
      <c r="AH6" s="32">
        <f>_xlfn.IFNA(VLOOKUP(Table2[[#This Row],[Name]],'Stableford - players'!$A$2:$B$65,2,FALSE),"")</f>
        <v>0.34027777777777773</v>
      </c>
      <c r="AI6" s="59">
        <f>IF(Table2[[#This Row],[tee time6]]&lt;&gt;"",COUNTIF('Stableford - players'!$B$2:$B$65,"="&amp;Table2[[#This Row],[tee time6]]),"")</f>
        <v>4</v>
      </c>
      <c r="AJ6" s="59">
        <f>_xlfn.IFNA(VLOOKUP(Table2[[#This Row],[tee time6]],'Stableford - groups'!$A$3:$F$20,6,FALSE),"")</f>
        <v>56</v>
      </c>
      <c r="AK6" s="11">
        <f>_xlfn.IFNA(VLOOKUP(Table2[[#This Row],[tee time6]],'Stableford - groups'!$A$3:$F$20,4,FALSE),"")</f>
        <v>0.17152777777777778</v>
      </c>
      <c r="AL6" s="13">
        <f>_xlfn.IFNA(VLOOKUP(Table2[[#This Row],[tee time6]],'Stableford - groups'!$A$3:$F$20,5,FALSE),"")</f>
        <v>9.0277777777777457E-3</v>
      </c>
      <c r="AM6" s="68">
        <f>IF(AND(Table2[[#This Row],[gap6]]="NA",Table2[[#This Row],[round6]]&lt;4/24),0,IFERROR((MAX(starting_interval,IF(Table2[[#This Row],[gap6]]="NA",Table2[[#This Row],[avg gap]],Table2[[#This Row],[gap6]]))-starting_interval)*Table2[[#This Row],[followers6]]/Table2[[#This Row],[group size6]],""))</f>
        <v>2.9166666666666223E-2</v>
      </c>
      <c r="AN6" s="32">
        <f>_xlfn.IFNA(VLOOKUP(Table2[[#This Row],[Name]],'Turkey Shoot - players'!$A$2:$B$65,2,FALSE),"")</f>
        <v>0.36805555555555558</v>
      </c>
      <c r="AO6" s="59">
        <f>IF(Table2[[#This Row],[tee time7]]&lt;&gt;"",COUNTIF('Turkey Shoot - players'!$B$2:$B$65,"="&amp;Table2[[#This Row],[tee time7]]),"")</f>
        <v>4</v>
      </c>
      <c r="AP6" s="59">
        <f>_xlfn.IFNA(VLOOKUP(Table2[[#This Row],[tee time7]],'Stableford - groups'!$A$3:$F$20,6,FALSE),"")</f>
        <v>40</v>
      </c>
      <c r="AQ6" s="11">
        <f>_xlfn.IFNA(VLOOKUP(Table2[[#This Row],[tee time7]],'Turkey Shoot - groups'!$A$3:$F$20,4,FALSE),"")</f>
        <v>0.17013888888888884</v>
      </c>
      <c r="AR6" s="13">
        <f>_xlfn.IFNA(VLOOKUP(Table2[[#This Row],[tee time7]],'Turkey Shoot - groups'!$A$3:$F$20,5,FALSE),"")</f>
        <v>6.2499999999999995E-3</v>
      </c>
      <c r="AS6" s="68">
        <f>IF(AND(Table2[[#This Row],[gap7]]="NA",Table2[[#This Row],[round7]]&lt;4/24),0,IFERROR((MAX(starting_interval,IF(Table2[[#This Row],[gap7]]="NA",Table2[[#This Row],[avg gap]],Table2[[#This Row],[gap7]]))-starting_interval)*Table2[[#This Row],[followers7]]/Table2[[#This Row],[group size7]],""))</f>
        <v>0</v>
      </c>
      <c r="AT6" s="72">
        <f>COUNT(Table2[[#This Row],[Tee time1]],Table2[[#This Row],[tee time2]],Table2[[#This Row],[tee time3]],Table2[[#This Row],[tee time4]],Table2[[#This Row],[tee time5]],Table2[[#This Row],[tee time6]],Table2[[#This Row],[tee time7]])</f>
        <v>6</v>
      </c>
      <c r="AU6" s="4">
        <f>IFERROR(AVERAGE(Table2[[#This Row],[Tee time1]],Table2[[#This Row],[tee time2]],Table2[[#This Row],[tee time3]],Table2[[#This Row],[tee time4]],Table2[[#This Row],[tee time5]],Table2[[#This Row],[tee time6]],Table2[[#This Row],[tee time7]]),"")</f>
        <v>0.35046296296296298</v>
      </c>
      <c r="AV6" s="12">
        <f>IFERROR(MEDIAN(Table2[[#This Row],[round1]],Table2[[#This Row],[Round2]],Table2[[#This Row],[round3]],Table2[[#This Row],[round4]],Table2[[#This Row],[round5]],Table2[[#This Row],[round6]],Table2[[#This Row],[round7]]),"")</f>
        <v>0.18402777777777776</v>
      </c>
      <c r="AW6" s="11">
        <f>IFERROR(AVERAGE(Table2[[#This Row],[gap1]],Table2[[#This Row],[gap2]],Table2[[#This Row],[gap3]],Table2[[#This Row],[gap4]],Table2[[#This Row],[gap5]],Table2[[#This Row],[gap6]],Table2[[#This Row],[gap7]]),"")</f>
        <v>1.3194444444444443E-2</v>
      </c>
      <c r="AX6" s="9">
        <f>IFERROR((Table2[[#This Row],[avg gap]]-starting_interval)*24*60*Table2[[#This Row],[Count]],"NA")</f>
        <v>53.999999999999986</v>
      </c>
      <c r="AY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0.48333333333333334</v>
      </c>
      <c r="AZ6" s="2"/>
    </row>
    <row r="7" spans="1:52" x14ac:dyDescent="0.3">
      <c r="A7" s="10" t="s">
        <v>190</v>
      </c>
      <c r="B7" s="1" t="s">
        <v>430</v>
      </c>
      <c r="C7" s="19">
        <v>20.8</v>
      </c>
      <c r="D7" s="32">
        <f>_xlfn.IFNA(VLOOKUP(Table2[[#This Row],[Name]],'Classic day 1 - players'!$A$2:$B$64,2,FALSE),"")</f>
        <v>0.37708333333333338</v>
      </c>
      <c r="E7" s="33">
        <f>IF(Table2[[#This Row],[Tee time1]]&lt;&gt;"",COUNTIF('Classic day 1 - players'!$B$2:$B$64,"="&amp;Table2[[#This Row],[Tee time1]]),"")</f>
        <v>4</v>
      </c>
      <c r="F7" s="33">
        <f>_xlfn.IFNA(VLOOKUP(Table2[[#This Row],[Tee time1]],'Classic day 1 - groups'!$A$3:$F$20,6,FALSE),"")</f>
        <v>40</v>
      </c>
      <c r="G7" s="11">
        <f>_xlfn.IFNA(VLOOKUP(Table2[[#This Row],[Tee time1]],'Classic day 1 - groups'!$A$3:$F$20,4,FALSE),"")</f>
        <v>0.19861111111111118</v>
      </c>
      <c r="H7" s="12">
        <f>_xlfn.IFNA(VLOOKUP(Table2[[#This Row],[Tee time1]],'Classic day 1 - groups'!$A$3:$F$20,5,FALSE),"")</f>
        <v>7.6388888888889728E-3</v>
      </c>
      <c r="I7" s="69">
        <f>IFERROR((MAX(starting_interval,IF(Table2[[#This Row],[gap1]]="NA",Table2[[#This Row],[avg gap]],Table2[[#This Row],[gap1]]))-starting_interval)*Table2[[#This Row],[followers1]]/Table2[[#This Row],[group size]],"")</f>
        <v>6.9444444444452871E-3</v>
      </c>
      <c r="J7" s="32">
        <f>_xlfn.IFNA(VLOOKUP(Table2[[#This Row],[Name]],'Classic day 2 - players'!$A$2:$B$64,2,FALSE),"")</f>
        <v>0.36458333333333331</v>
      </c>
      <c r="K7" s="33">
        <f>IF(Table2[[#This Row],[tee time2]]&lt;&gt;"",COUNTIF('Classic day 2 - players'!$B$2:$B$64,"="&amp;Table2[[#This Row],[tee time2]]),"")</f>
        <v>4</v>
      </c>
      <c r="L7" s="33">
        <f>_xlfn.IFNA(VLOOKUP(Table2[[#This Row],[tee time2]],'Classic day 2 - groups'!$A$3:$F$20,6,FALSE),"")</f>
        <v>32</v>
      </c>
      <c r="M7" s="4">
        <f>_xlfn.IFNA(VLOOKUP(Table2[[#This Row],[tee time2]],'Classic day 2 - groups'!$A$3:$F$20,4,FALSE),"")</f>
        <v>0.19027777777777777</v>
      </c>
      <c r="N7" s="65">
        <f>_xlfn.IFNA(VLOOKUP(Table2[[#This Row],[tee time2]],'Classic day 2 - groups'!$A$3:$F$20,5,FALSE),"")</f>
        <v>1.2499999999999999E-2</v>
      </c>
      <c r="O7" s="69">
        <f>IFERROR((MAX(starting_interval,IF(Table2[[#This Row],[gap2]]="NA",Table2[[#This Row],[avg gap]],Table2[[#This Row],[gap2]]))-starting_interval)*Table2[[#This Row],[followers2]]/Table2[[#This Row],[group size2]],"")</f>
        <v>4.4444444444444439E-2</v>
      </c>
      <c r="P7" s="32">
        <f>_xlfn.IFNA(VLOOKUP(Table2[[#This Row],[Name]],'Summer FD - players'!$A$2:$B$65,2,FALSE),"")</f>
        <v>0.32916666666666666</v>
      </c>
      <c r="Q7" s="59">
        <f>IF(Table2[[#This Row],[tee time3]]&lt;&gt;"",COUNTIF('Summer FD - players'!$B$2:$B$65,"="&amp;Table2[[#This Row],[tee time3]]),"")</f>
        <v>4</v>
      </c>
      <c r="R7" s="59">
        <f>_xlfn.IFNA(VLOOKUP(Table2[[#This Row],[tee time3]],'Summer FD - groups'!$A$3:$F$20,6,FALSE),"")</f>
        <v>64</v>
      </c>
      <c r="S7" s="4">
        <f>_xlfn.IFNA(VLOOKUP(Table2[[#This Row],[tee time3]],'Summer FD - groups'!$A$3:$F$20,4,FALSE),"")</f>
        <v>0.18333333333333329</v>
      </c>
      <c r="T7" s="13" t="str">
        <f>_xlfn.IFNA(VLOOKUP(Table2[[#This Row],[tee time3]],'Summer FD - groups'!$A$3:$F$20,5,FALSE),"")</f>
        <v>NA</v>
      </c>
      <c r="U7" s="69">
        <f>IF(Table2[[#This Row],[avg gap]]&lt;&gt;"",IFERROR((MAX(starting_interval,IF(Table2[[#This Row],[gap3]]="NA",Table2[[#This Row],[avg gap]],Table2[[#This Row],[gap3]]))-starting_interval)*Table2[[#This Row],[followers3]]/Table2[[#This Row],[group size3]],""),"")</f>
        <v>5.0000000000000655E-2</v>
      </c>
      <c r="V7" s="32">
        <f>_xlfn.IFNA(VLOOKUP(Table2[[#This Row],[Name]],'6-6-6 - players'!$A$2:$B$69,2,FALSE),"")</f>
        <v>0.33333333333333331</v>
      </c>
      <c r="W7" s="59">
        <f>IF(Table2[[#This Row],[tee time4]]&lt;&gt;"",COUNTIF('6-6-6 - players'!$B$2:$B$69,"="&amp;Table2[[#This Row],[tee time4]]),"")</f>
        <v>4</v>
      </c>
      <c r="X7" s="59">
        <f>_xlfn.IFNA(VLOOKUP(Table2[[#This Row],[tee time4]],'6-6-6 - groups'!$A$3:$F$20,6,FALSE),"")</f>
        <v>68</v>
      </c>
      <c r="Y7" s="4">
        <f>_xlfn.IFNA(VLOOKUP(Table2[[#This Row],[tee time4]],'6-6-6 - groups'!$A$3:$F$20,4,FALSE),"")</f>
        <v>0.17569444444444443</v>
      </c>
      <c r="Z7" s="13" t="str">
        <f>_xlfn.IFNA(VLOOKUP(Table2[[#This Row],[tee time4]],'6-6-6 - groups'!$A$3:$F$20,5,FALSE),"")</f>
        <v>NA</v>
      </c>
      <c r="AA7" s="69">
        <f>IF(Table2[[#This Row],[avg gap]]&lt;&gt;"",IFERROR((MAX(starting_interval,IF(Table2[[#This Row],[gap4]]="NA",Table2[[#This Row],[avg gap]],Table2[[#This Row],[gap4]]))-starting_interval)*Table2[[#This Row],[followers4]]/Table2[[#This Row],[group size4]],""),"")</f>
        <v>5.3125000000000699E-2</v>
      </c>
      <c r="AB7" s="32">
        <f>_xlfn.IFNA(VLOOKUP(Table2[[#This Row],[Name]],'Fall FD - players'!$A$2:$B$65,2,FALSE),"")</f>
        <v>0.33749999999999997</v>
      </c>
      <c r="AC7" s="59">
        <f>IF(Table2[[#This Row],[tee time5]]&lt;&gt;"",COUNTIF('Fall FD - players'!$B$2:$B$65,"="&amp;Table2[[#This Row],[tee time5]]),"")</f>
        <v>2</v>
      </c>
      <c r="AD7" s="59">
        <f>_xlfn.IFNA(VLOOKUP(Table2[[#This Row],[tee time5]],'Fall FD - groups'!$A$3:$F$20,6,FALSE),"")</f>
        <v>68</v>
      </c>
      <c r="AE7" s="4">
        <f>_xlfn.IFNA(VLOOKUP(Table2[[#This Row],[tee time5]],'Fall FD - groups'!$A$3:$F$20,4,FALSE),"")</f>
        <v>0.15000000000000002</v>
      </c>
      <c r="AF7" s="13" t="str">
        <f>IFERROR(MIN(_xlfn.IFNA(VLOOKUP(Table2[[#This Row],[tee time5]],'Fall FD - groups'!$A$3:$F$20,5,FALSE),""),starting_interval + Table2[[#This Row],[round5]] - standard_round_time),"")</f>
        <v/>
      </c>
      <c r="AG7" s="69">
        <f>IF(AND(Table2[[#This Row],[gap5]]="NA",Table2[[#This Row],[round5]]&lt;4/24),0,IFERROR((MAX(starting_interval,IF(Table2[[#This Row],[gap5]]="NA",Table2[[#This Row],[avg gap]],Table2[[#This Row],[gap5]]))-starting_interval)*Table2[[#This Row],[followers5]]/Table2[[#This Row],[group size5]],""))</f>
        <v>0</v>
      </c>
      <c r="AH7" s="32">
        <f>_xlfn.IFNA(VLOOKUP(Table2[[#This Row],[Name]],'Stableford - players'!$A$2:$B$65,2,FALSE),"")</f>
        <v>0.33333333333333331</v>
      </c>
      <c r="AI7" s="59">
        <f>IF(Table2[[#This Row],[tee time6]]&lt;&gt;"",COUNTIF('Stableford - players'!$B$2:$B$65,"="&amp;Table2[[#This Row],[tee time6]]),"")</f>
        <v>4</v>
      </c>
      <c r="AJ7" s="59">
        <f>_xlfn.IFNA(VLOOKUP(Table2[[#This Row],[tee time6]],'Stableford - groups'!$A$3:$F$20,6,FALSE),"")</f>
        <v>60</v>
      </c>
      <c r="AK7" s="11">
        <f>_xlfn.IFNA(VLOOKUP(Table2[[#This Row],[tee time6]],'Stableford - groups'!$A$3:$F$20,4,FALSE),"")</f>
        <v>0.1701388888888889</v>
      </c>
      <c r="AL7" s="13" t="str">
        <f>_xlfn.IFNA(VLOOKUP(Table2[[#This Row],[tee time6]],'Stableford - groups'!$A$3:$F$20,5,FALSE),"")</f>
        <v>NA</v>
      </c>
      <c r="AM7" s="68">
        <f>IF(AND(Table2[[#This Row],[gap6]]="NA",Table2[[#This Row],[round6]]&lt;4/24),0,IFERROR((MAX(starting_interval,IF(Table2[[#This Row],[gap6]]="NA",Table2[[#This Row],[avg gap]],Table2[[#This Row],[gap6]]))-starting_interval)*Table2[[#This Row],[followers6]]/Table2[[#This Row],[group size6]],""))</f>
        <v>4.6875000000000611E-2</v>
      </c>
      <c r="AN7" s="32">
        <f>_xlfn.IFNA(VLOOKUP(Table2[[#This Row],[Name]],'Turkey Shoot - players'!$A$2:$B$65,2,FALSE),"")</f>
        <v>0.3611111111111111</v>
      </c>
      <c r="AO7" s="59">
        <f>IF(Table2[[#This Row],[tee time7]]&lt;&gt;"",COUNTIF('Turkey Shoot - players'!$B$2:$B$65,"="&amp;Table2[[#This Row],[tee time7]]),"")</f>
        <v>4</v>
      </c>
      <c r="AP7" s="59">
        <f>_xlfn.IFNA(VLOOKUP(Table2[[#This Row],[tee time7]],'Stableford - groups'!$A$3:$F$20,6,FALSE),"")</f>
        <v>44</v>
      </c>
      <c r="AQ7" s="11">
        <f>_xlfn.IFNA(VLOOKUP(Table2[[#This Row],[tee time7]],'Turkey Shoot - groups'!$A$3:$F$20,4,FALSE),"")</f>
        <v>0.1701388888888889</v>
      </c>
      <c r="AR7" s="13" t="str">
        <f>_xlfn.IFNA(VLOOKUP(Table2[[#This Row],[tee time7]],'Turkey Shoot - groups'!$A$3:$F$20,5,FALSE),"")</f>
        <v>NA</v>
      </c>
      <c r="AS7" s="68">
        <f>IF(AND(Table2[[#This Row],[gap7]]="NA",Table2[[#This Row],[round7]]&lt;4/24),0,IFERROR((MAX(starting_interval,IF(Table2[[#This Row],[gap7]]="NA",Table2[[#This Row],[avg gap]],Table2[[#This Row],[gap7]]))-starting_interval)*Table2[[#This Row],[followers7]]/Table2[[#This Row],[group size7]],""))</f>
        <v>3.4375000000000447E-2</v>
      </c>
      <c r="AT7" s="72">
        <f>COUNT(Table2[[#This Row],[Tee time1]],Table2[[#This Row],[tee time2]],Table2[[#This Row],[tee time3]],Table2[[#This Row],[tee time4]],Table2[[#This Row],[tee time5]],Table2[[#This Row],[tee time6]],Table2[[#This Row],[tee time7]])</f>
        <v>7</v>
      </c>
      <c r="AU7" s="4">
        <f>IFERROR(AVERAGE(Table2[[#This Row],[Tee time1]],Table2[[#This Row],[tee time2]],Table2[[#This Row],[tee time3]],Table2[[#This Row],[tee time4]],Table2[[#This Row],[tee time5]],Table2[[#This Row],[tee time6]],Table2[[#This Row],[tee time7]]),"")</f>
        <v>0.348015873015873</v>
      </c>
      <c r="AV7" s="12">
        <f>IFERROR(MEDIAN(Table2[[#This Row],[round1]],Table2[[#This Row],[Round2]],Table2[[#This Row],[round3]],Table2[[#This Row],[round4]],Table2[[#This Row],[round5]],Table2[[#This Row],[round6]],Table2[[#This Row],[round7]]),"")</f>
        <v>0.17569444444444443</v>
      </c>
      <c r="AW7" s="11">
        <f>IFERROR(AVERAGE(Table2[[#This Row],[gap1]],Table2[[#This Row],[gap2]],Table2[[#This Row],[gap3]],Table2[[#This Row],[gap4]],Table2[[#This Row],[gap5]],Table2[[#This Row],[gap6]],Table2[[#This Row],[gap7]]),"")</f>
        <v>1.0069444444444485E-2</v>
      </c>
      <c r="AX7" s="9">
        <f>IFERROR((Table2[[#This Row],[avg gap]]-starting_interval)*24*60*Table2[[#This Row],[Count]],"NA")</f>
        <v>31.500000000000412</v>
      </c>
      <c r="AY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0.23576388888889216</v>
      </c>
      <c r="AZ7" s="2"/>
    </row>
    <row r="8" spans="1:52" x14ac:dyDescent="0.3">
      <c r="A8" s="10" t="s">
        <v>30</v>
      </c>
      <c r="B8" s="1" t="s">
        <v>268</v>
      </c>
      <c r="C8" s="19">
        <v>26</v>
      </c>
      <c r="D8" s="32">
        <f>_xlfn.IFNA(VLOOKUP(Table2[[#This Row],[Name]],'Classic day 1 - players'!$A$2:$B$64,2,FALSE),"")</f>
        <v>0.35833333333333334</v>
      </c>
      <c r="E8" s="33">
        <f>IF(Table2[[#This Row],[Tee time1]]&lt;&gt;"",COUNTIF('Classic day 1 - players'!$B$2:$B$64,"="&amp;Table2[[#This Row],[Tee time1]]),"")</f>
        <v>4</v>
      </c>
      <c r="F8" s="33">
        <f>_xlfn.IFNA(VLOOKUP(Table2[[#This Row],[Tee time1]],'Classic day 1 - groups'!$A$3:$F$20,6,FALSE),"")</f>
        <v>52</v>
      </c>
      <c r="G8" s="11">
        <f>_xlfn.IFNA(VLOOKUP(Table2[[#This Row],[Tee time1]],'Classic day 1 - groups'!$A$3:$F$20,4,FALSE),"")</f>
        <v>0.19930555555555557</v>
      </c>
      <c r="H8" s="12">
        <f>_xlfn.IFNA(VLOOKUP(Table2[[#This Row],[Tee time1]],'Classic day 1 - groups'!$A$3:$F$20,5,FALSE),"")</f>
        <v>3.4722222222222099E-3</v>
      </c>
      <c r="I8" s="69">
        <f>IFERROR((MAX(starting_interval,IF(Table2[[#This Row],[gap1]]="NA",Table2[[#This Row],[avg gap]],Table2[[#This Row],[gap1]]))-starting_interval)*Table2[[#This Row],[followers1]]/Table2[[#This Row],[group size]],"")</f>
        <v>0</v>
      </c>
      <c r="J8" s="32">
        <f>_xlfn.IFNA(VLOOKUP(Table2[[#This Row],[Name]],'Classic day 2 - players'!$A$2:$B$64,2,FALSE),"")</f>
        <v>0.34583333333333338</v>
      </c>
      <c r="K8" s="33">
        <f>IF(Table2[[#This Row],[tee time2]]&lt;&gt;"",COUNTIF('Classic day 2 - players'!$B$2:$B$64,"="&amp;Table2[[#This Row],[tee time2]]),"")</f>
        <v>4</v>
      </c>
      <c r="L8" s="33">
        <f>_xlfn.IFNA(VLOOKUP(Table2[[#This Row],[tee time2]],'Classic day 2 - groups'!$A$3:$F$20,6,FALSE),"")</f>
        <v>44</v>
      </c>
      <c r="M8" s="4">
        <f>_xlfn.IFNA(VLOOKUP(Table2[[#This Row],[tee time2]],'Classic day 2 - groups'!$A$3:$F$20,4,FALSE),"")</f>
        <v>0.1875</v>
      </c>
      <c r="N8" s="65">
        <f>_xlfn.IFNA(VLOOKUP(Table2[[#This Row],[tee time2]],'Classic day 2 - groups'!$A$3:$F$20,5,FALSE),"")</f>
        <v>2.4305555555555556E-2</v>
      </c>
      <c r="O8" s="69">
        <f>IFERROR((MAX(starting_interval,IF(Table2[[#This Row],[gap2]]="NA",Table2[[#This Row],[avg gap]],Table2[[#This Row],[gap2]]))-starting_interval)*Table2[[#This Row],[followers2]]/Table2[[#This Row],[group size2]],"")</f>
        <v>0.19097222222222224</v>
      </c>
      <c r="P8" s="32" t="str">
        <f>_xlfn.IFNA(VLOOKUP(Table2[[#This Row],[Name]],'Summer FD - players'!$A$2:$B$65,2,FALSE),"")</f>
        <v/>
      </c>
      <c r="Q8" s="59" t="str">
        <f>IF(Table2[[#This Row],[tee time3]]&lt;&gt;"",COUNTIF('Summer FD - players'!$B$2:$B$65,"="&amp;Table2[[#This Row],[tee time3]]),"")</f>
        <v/>
      </c>
      <c r="R8" s="59" t="str">
        <f>_xlfn.IFNA(VLOOKUP(Table2[[#This Row],[tee time3]],'Summer FD - groups'!$A$3:$F$20,6,FALSE),"")</f>
        <v/>
      </c>
      <c r="S8" s="4" t="str">
        <f>_xlfn.IFNA(VLOOKUP(Table2[[#This Row],[tee time3]],'Summer FD - groups'!$A$3:$F$20,4,FALSE),"")</f>
        <v/>
      </c>
      <c r="T8" s="13" t="str">
        <f>_xlfn.IFNA(VLOOKUP(Table2[[#This Row],[tee time3]],'Summer FD - groups'!$A$3:$F$20,5,FALSE),"")</f>
        <v/>
      </c>
      <c r="U8" s="69" t="str">
        <f>IF(Table2[[#This Row],[avg gap]]&lt;&gt;"",IFERROR((MAX(starting_interval,IF(Table2[[#This Row],[gap3]]="NA",Table2[[#This Row],[avg gap]],Table2[[#This Row],[gap3]]))-starting_interval)*Table2[[#This Row],[followers3]]/Table2[[#This Row],[group size3]],""),"")</f>
        <v/>
      </c>
      <c r="V8" s="32" t="str">
        <f>_xlfn.IFNA(VLOOKUP(Table2[[#This Row],[Name]],'6-6-6 - players'!$A$2:$B$69,2,FALSE),"")</f>
        <v/>
      </c>
      <c r="W8" s="59" t="str">
        <f>IF(Table2[[#This Row],[tee time4]]&lt;&gt;"",COUNTIF('6-6-6 - players'!$B$2:$B$69,"="&amp;Table2[[#This Row],[tee time4]]),"")</f>
        <v/>
      </c>
      <c r="X8" s="59" t="str">
        <f>_xlfn.IFNA(VLOOKUP(Table2[[#This Row],[tee time4]],'6-6-6 - groups'!$A$3:$F$20,6,FALSE),"")</f>
        <v/>
      </c>
      <c r="Y8" s="4" t="str">
        <f>_xlfn.IFNA(VLOOKUP(Table2[[#This Row],[tee time4]],'6-6-6 - groups'!$A$3:$F$20,4,FALSE),"")</f>
        <v/>
      </c>
      <c r="Z8" s="13" t="str">
        <f>_xlfn.IFNA(VLOOKUP(Table2[[#This Row],[tee time4]],'6-6-6 - groups'!$A$3:$F$20,5,FALSE),"")</f>
        <v/>
      </c>
      <c r="AA8" s="69" t="str">
        <f>IF(Table2[[#This Row],[avg gap]]&lt;&gt;"",IFERROR((MAX(starting_interval,IF(Table2[[#This Row],[gap4]]="NA",Table2[[#This Row],[avg gap]],Table2[[#This Row],[gap4]]))-starting_interval)*Table2[[#This Row],[followers4]]/Table2[[#This Row],[group size4]],""),"")</f>
        <v/>
      </c>
      <c r="AB8" s="32">
        <f>_xlfn.IFNA(VLOOKUP(Table2[[#This Row],[Name]],'Fall FD - players'!$A$2:$B$65,2,FALSE),"")</f>
        <v>0.35138888888888892</v>
      </c>
      <c r="AC8" s="59">
        <f>IF(Table2[[#This Row],[tee time5]]&lt;&gt;"",COUNTIF('Fall FD - players'!$B$2:$B$65,"="&amp;Table2[[#This Row],[tee time5]]),"")</f>
        <v>4</v>
      </c>
      <c r="AD8" s="59">
        <f>_xlfn.IFNA(VLOOKUP(Table2[[#This Row],[tee time5]],'Fall FD - groups'!$A$3:$F$20,6,FALSE),"")</f>
        <v>60</v>
      </c>
      <c r="AE8" s="4">
        <f>_xlfn.IFNA(VLOOKUP(Table2[[#This Row],[tee time5]],'Fall FD - groups'!$A$3:$F$20,4,FALSE),"")</f>
        <v>0.17152777777777767</v>
      </c>
      <c r="AF8" s="13">
        <f>IFERROR(MIN(_xlfn.IFNA(VLOOKUP(Table2[[#This Row],[tee time5]],'Fall FD - groups'!$A$3:$F$20,5,FALSE),""),starting_interval + Table2[[#This Row],[round5]] - standard_round_time),"")</f>
        <v>8.3333333333333037E-3</v>
      </c>
      <c r="AG8" s="69">
        <f>IF(AND(Table2[[#This Row],[gap5]]="NA",Table2[[#This Row],[round5]]&lt;4/24),0,IFERROR((MAX(starting_interval,IF(Table2[[#This Row],[gap5]]="NA",Table2[[#This Row],[avg gap]],Table2[[#This Row],[gap5]]))-starting_interval)*Table2[[#This Row],[followers5]]/Table2[[#This Row],[group size5]],""))</f>
        <v>2.0833333333332895E-2</v>
      </c>
      <c r="AH8" s="32" t="str">
        <f>_xlfn.IFNA(VLOOKUP(Table2[[#This Row],[Name]],'Stableford - players'!$A$2:$B$65,2,FALSE),"")</f>
        <v/>
      </c>
      <c r="AI8" s="59" t="str">
        <f>IF(Table2[[#This Row],[tee time6]]&lt;&gt;"",COUNTIF('Stableford - players'!$B$2:$B$65,"="&amp;Table2[[#This Row],[tee time6]]),"")</f>
        <v/>
      </c>
      <c r="AJ8" s="59" t="str">
        <f>_xlfn.IFNA(VLOOKUP(Table2[[#This Row],[tee time6]],'Stableford - groups'!$A$3:$F$20,6,FALSE),"")</f>
        <v/>
      </c>
      <c r="AK8" s="11" t="str">
        <f>_xlfn.IFNA(VLOOKUP(Table2[[#This Row],[tee time6]],'Stableford - groups'!$A$3:$F$20,4,FALSE),"")</f>
        <v/>
      </c>
      <c r="AL8" s="13" t="str">
        <f>_xlfn.IFNA(VLOOKUP(Table2[[#This Row],[tee time6]],'Stableford - groups'!$A$3:$F$20,5,FALSE),"")</f>
        <v/>
      </c>
      <c r="AM8" s="68" t="str">
        <f>IF(AND(Table2[[#This Row],[gap6]]="NA",Table2[[#This Row],[round6]]&lt;4/24),0,IFERROR((MAX(starting_interval,IF(Table2[[#This Row],[gap6]]="NA",Table2[[#This Row],[avg gap]],Table2[[#This Row],[gap6]]))-starting_interval)*Table2[[#This Row],[followers6]]/Table2[[#This Row],[group size6]],""))</f>
        <v/>
      </c>
      <c r="AN8" s="32" t="str">
        <f>_xlfn.IFNA(VLOOKUP(Table2[[#This Row],[Name]],'Turkey Shoot - players'!$A$2:$B$65,2,FALSE),"")</f>
        <v/>
      </c>
      <c r="AO8" s="59" t="str">
        <f>IF(Table2[[#This Row],[tee time7]]&lt;&gt;"",COUNTIF('Turkey Shoot - players'!$B$2:$B$65,"="&amp;Table2[[#This Row],[tee time7]]),"")</f>
        <v/>
      </c>
      <c r="AP8" s="59" t="str">
        <f>_xlfn.IFNA(VLOOKUP(Table2[[#This Row],[tee time7]],'Stableford - groups'!$A$3:$F$20,6,FALSE),"")</f>
        <v/>
      </c>
      <c r="AQ8" s="11" t="str">
        <f>_xlfn.IFNA(VLOOKUP(Table2[[#This Row],[tee time7]],'Turkey Shoot - groups'!$A$3:$F$20,4,FALSE),"")</f>
        <v/>
      </c>
      <c r="AR8" s="13" t="str">
        <f>_xlfn.IFNA(VLOOKUP(Table2[[#This Row],[tee time7]],'Turkey Shoot - groups'!$A$3:$F$20,5,FALSE),"")</f>
        <v/>
      </c>
      <c r="AS8" s="68" t="str">
        <f>IF(AND(Table2[[#This Row],[gap7]]="NA",Table2[[#This Row],[round7]]&lt;4/24),0,IFERROR((MAX(starting_interval,IF(Table2[[#This Row],[gap7]]="NA",Table2[[#This Row],[avg gap]],Table2[[#This Row],[gap7]]))-starting_interval)*Table2[[#This Row],[followers7]]/Table2[[#This Row],[group size7]],""))</f>
        <v/>
      </c>
      <c r="AT8" s="72">
        <f>COUNT(Table2[[#This Row],[Tee time1]],Table2[[#This Row],[tee time2]],Table2[[#This Row],[tee time3]],Table2[[#This Row],[tee time4]],Table2[[#This Row],[tee time5]],Table2[[#This Row],[tee time6]],Table2[[#This Row],[tee time7]])</f>
        <v>3</v>
      </c>
      <c r="AU8" s="4">
        <f>IFERROR(AVERAGE(Table2[[#This Row],[Tee time1]],Table2[[#This Row],[tee time2]],Table2[[#This Row],[tee time3]],Table2[[#This Row],[tee time4]],Table2[[#This Row],[tee time5]],Table2[[#This Row],[tee time6]],Table2[[#This Row],[tee time7]]),"")</f>
        <v>0.35185185185185186</v>
      </c>
      <c r="AV8" s="12">
        <f>IFERROR(MEDIAN(Table2[[#This Row],[round1]],Table2[[#This Row],[Round2]],Table2[[#This Row],[round3]],Table2[[#This Row],[round4]],Table2[[#This Row],[round5]],Table2[[#This Row],[round6]],Table2[[#This Row],[round7]]),"")</f>
        <v>0.1875</v>
      </c>
      <c r="AW8" s="11">
        <f>IFERROR(AVERAGE(Table2[[#This Row],[gap1]],Table2[[#This Row],[gap2]],Table2[[#This Row],[gap3]],Table2[[#This Row],[gap4]],Table2[[#This Row],[gap5]],Table2[[#This Row],[gap6]],Table2[[#This Row],[gap7]]),"")</f>
        <v>1.2037037037037021E-2</v>
      </c>
      <c r="AX8" s="9">
        <f>IFERROR((Table2[[#This Row],[avg gap]]-starting_interval)*24*60*Table2[[#This Row],[Count]],"NA")</f>
        <v>21.999999999999936</v>
      </c>
      <c r="AY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0.21180555555555514</v>
      </c>
      <c r="AZ8" s="2"/>
    </row>
    <row r="9" spans="1:52" x14ac:dyDescent="0.3">
      <c r="A9" s="10" t="s">
        <v>72</v>
      </c>
      <c r="B9" s="1" t="s">
        <v>311</v>
      </c>
      <c r="C9" s="19">
        <v>9.8000000000000007</v>
      </c>
      <c r="D9" s="32">
        <f>_xlfn.IFNA(VLOOKUP(Table2[[#This Row],[Name]],'Classic day 1 - players'!$A$2:$B$64,2,FALSE),"")</f>
        <v>0.33333333333333331</v>
      </c>
      <c r="E9" s="33">
        <f>IF(Table2[[#This Row],[Tee time1]]&lt;&gt;"",COUNTIF('Classic day 1 - players'!$B$2:$B$64,"="&amp;Table2[[#This Row],[Tee time1]]),"")</f>
        <v>4</v>
      </c>
      <c r="F9" s="33">
        <f>_xlfn.IFNA(VLOOKUP(Table2[[#This Row],[Tee time1]],'Classic day 1 - groups'!$A$3:$F$20,6,FALSE),"")</f>
        <v>68</v>
      </c>
      <c r="G9" s="11">
        <f>_xlfn.IFNA(VLOOKUP(Table2[[#This Row],[Tee time1]],'Classic day 1 - groups'!$A$3:$F$20,4,FALSE),"")</f>
        <v>0.19444444444444448</v>
      </c>
      <c r="H9" s="12" t="str">
        <f>_xlfn.IFNA(VLOOKUP(Table2[[#This Row],[Tee time1]],'Classic day 1 - groups'!$A$3:$F$20,5,FALSE),"")</f>
        <v>NA</v>
      </c>
      <c r="I9" s="69">
        <f>IFERROR((MAX(starting_interval,IF(Table2[[#This Row],[gap1]]="NA",Table2[[#This Row],[avg gap]],Table2[[#This Row],[gap1]]))-starting_interval)*Table2[[#This Row],[followers1]]/Table2[[#This Row],[group size]],"")</f>
        <v>2.5578703703703916E-2</v>
      </c>
      <c r="J9" s="32">
        <f>_xlfn.IFNA(VLOOKUP(Table2[[#This Row],[Name]],'Classic day 2 - players'!$A$2:$B$64,2,FALSE),"")</f>
        <v>0.38958333333333334</v>
      </c>
      <c r="K9" s="33">
        <f>IF(Table2[[#This Row],[tee time2]]&lt;&gt;"",COUNTIF('Classic day 2 - players'!$B$2:$B$64,"="&amp;Table2[[#This Row],[tee time2]]),"")</f>
        <v>4</v>
      </c>
      <c r="L9" s="33">
        <f>_xlfn.IFNA(VLOOKUP(Table2[[#This Row],[tee time2]],'Classic day 2 - groups'!$A$3:$F$20,6,FALSE),"")</f>
        <v>16</v>
      </c>
      <c r="M9" s="4">
        <f>_xlfn.IFNA(VLOOKUP(Table2[[#This Row],[tee time2]],'Classic day 2 - groups'!$A$3:$F$20,4,FALSE),"")</f>
        <v>0.18611111111111112</v>
      </c>
      <c r="N9" s="65">
        <f>_xlfn.IFNA(VLOOKUP(Table2[[#This Row],[tee time2]],'Classic day 2 - groups'!$A$3:$F$20,5,FALSE),"")</f>
        <v>4.1666666666666666E-3</v>
      </c>
      <c r="O9" s="69">
        <f>IFERROR((MAX(starting_interval,IF(Table2[[#This Row],[gap2]]="NA",Table2[[#This Row],[avg gap]],Table2[[#This Row],[gap2]]))-starting_interval)*Table2[[#This Row],[followers2]]/Table2[[#This Row],[group size2]],"")</f>
        <v>0</v>
      </c>
      <c r="P9" s="32">
        <f>_xlfn.IFNA(VLOOKUP(Table2[[#This Row],[Name]],'Summer FD - players'!$A$2:$B$65,2,FALSE),"")</f>
        <v>0.33611111111111108</v>
      </c>
      <c r="Q9" s="59">
        <f>IF(Table2[[#This Row],[tee time3]]&lt;&gt;"",COUNTIF('Summer FD - players'!$B$2:$B$65,"="&amp;Table2[[#This Row],[tee time3]]),"")</f>
        <v>4</v>
      </c>
      <c r="R9" s="59">
        <f>_xlfn.IFNA(VLOOKUP(Table2[[#This Row],[tee time3]],'Summer FD - groups'!$A$3:$F$20,6,FALSE),"")</f>
        <v>60</v>
      </c>
      <c r="S9" s="4">
        <f>_xlfn.IFNA(VLOOKUP(Table2[[#This Row],[tee time3]],'Summer FD - groups'!$A$3:$F$20,4,FALSE),"")</f>
        <v>0.18680555555555556</v>
      </c>
      <c r="T9" s="13">
        <f>_xlfn.IFNA(VLOOKUP(Table2[[#This Row],[tee time3]],'Summer FD - groups'!$A$3:$F$20,5,FALSE),"")</f>
        <v>1.1805555555555625E-2</v>
      </c>
      <c r="U9" s="69">
        <f>IF(Table2[[#This Row],[avg gap]]&lt;&gt;"",IFERROR((MAX(starting_interval,IF(Table2[[#This Row],[gap3]]="NA",Table2[[#This Row],[avg gap]],Table2[[#This Row],[gap3]]))-starting_interval)*Table2[[#This Row],[followers3]]/Table2[[#This Row],[group size3]],""),"")</f>
        <v>7.2916666666667712E-2</v>
      </c>
      <c r="V9" s="32">
        <f>_xlfn.IFNA(VLOOKUP(Table2[[#This Row],[Name]],'6-6-6 - players'!$A$2:$B$69,2,FALSE),"")</f>
        <v>0.34722222222222227</v>
      </c>
      <c r="W9" s="59">
        <f>IF(Table2[[#This Row],[tee time4]]&lt;&gt;"",COUNTIF('6-6-6 - players'!$B$2:$B$69,"="&amp;Table2[[#This Row],[tee time4]]),"")</f>
        <v>4</v>
      </c>
      <c r="X9" s="59">
        <f>_xlfn.IFNA(VLOOKUP(Table2[[#This Row],[tee time4]],'6-6-6 - groups'!$A$3:$F$20,6,FALSE),"")</f>
        <v>60</v>
      </c>
      <c r="Y9" s="4">
        <f>_xlfn.IFNA(VLOOKUP(Table2[[#This Row],[tee time4]],'6-6-6 - groups'!$A$3:$F$20,4,FALSE),"")</f>
        <v>0.1736111111111111</v>
      </c>
      <c r="Z9" s="13">
        <f>_xlfn.IFNA(VLOOKUP(Table2[[#This Row],[tee time4]],'6-6-6 - groups'!$A$3:$F$20,5,FALSE),"")</f>
        <v>4.8611111111112049E-3</v>
      </c>
      <c r="AA9" s="69">
        <f>IF(Table2[[#This Row],[avg gap]]&lt;&gt;"",IFERROR((MAX(starting_interval,IF(Table2[[#This Row],[gap4]]="NA",Table2[[#This Row],[avg gap]],Table2[[#This Row],[gap4]]))-starting_interval)*Table2[[#This Row],[followers4]]/Table2[[#This Row],[group size4]],""),"")</f>
        <v>0</v>
      </c>
      <c r="AB9" s="32">
        <f>_xlfn.IFNA(VLOOKUP(Table2[[#This Row],[Name]],'Fall FD - players'!$A$2:$B$65,2,FALSE),"")</f>
        <v>0.37916666666666665</v>
      </c>
      <c r="AC9" s="59">
        <f>IF(Table2[[#This Row],[tee time5]]&lt;&gt;"",COUNTIF('Fall FD - players'!$B$2:$B$65,"="&amp;Table2[[#This Row],[tee time5]]),"")</f>
        <v>4</v>
      </c>
      <c r="AD9" s="59">
        <f>_xlfn.IFNA(VLOOKUP(Table2[[#This Row],[tee time5]],'Fall FD - groups'!$A$3:$F$20,6,FALSE),"")</f>
        <v>44</v>
      </c>
      <c r="AE9" s="4">
        <f>_xlfn.IFNA(VLOOKUP(Table2[[#This Row],[tee time5]],'Fall FD - groups'!$A$3:$F$20,4,FALSE),"")</f>
        <v>0.18124999999999997</v>
      </c>
      <c r="AF9" s="13">
        <f>IFERROR(MIN(_xlfn.IFNA(VLOOKUP(Table2[[#This Row],[tee time5]],'Fall FD - groups'!$A$3:$F$20,5,FALSE),""),starting_interval + Table2[[#This Row],[round5]] - standard_round_time),"")</f>
        <v>1.4583333333333282E-2</v>
      </c>
      <c r="AG9" s="69">
        <f>IF(AND(Table2[[#This Row],[gap5]]="NA",Table2[[#This Row],[round5]]&lt;4/24),0,IFERROR((MAX(starting_interval,IF(Table2[[#This Row],[gap5]]="NA",Table2[[#This Row],[avg gap]],Table2[[#This Row],[gap5]]))-starting_interval)*Table2[[#This Row],[followers5]]/Table2[[#This Row],[group size5]],""))</f>
        <v>8.4027777777777216E-2</v>
      </c>
      <c r="AH9" s="32">
        <f>_xlfn.IFNA(VLOOKUP(Table2[[#This Row],[Name]],'Stableford - players'!$A$2:$B$65,2,FALSE),"")</f>
        <v>0.34027777777777773</v>
      </c>
      <c r="AI9" s="59">
        <f>IF(Table2[[#This Row],[tee time6]]&lt;&gt;"",COUNTIF('Stableford - players'!$B$2:$B$65,"="&amp;Table2[[#This Row],[tee time6]]),"")</f>
        <v>4</v>
      </c>
      <c r="AJ9" s="59">
        <f>_xlfn.IFNA(VLOOKUP(Table2[[#This Row],[tee time6]],'Stableford - groups'!$A$3:$F$20,6,FALSE),"")</f>
        <v>56</v>
      </c>
      <c r="AK9" s="11">
        <f>_xlfn.IFNA(VLOOKUP(Table2[[#This Row],[tee time6]],'Stableford - groups'!$A$3:$F$20,4,FALSE),"")</f>
        <v>0.17152777777777778</v>
      </c>
      <c r="AL9" s="13">
        <f>_xlfn.IFNA(VLOOKUP(Table2[[#This Row],[tee time6]],'Stableford - groups'!$A$3:$F$20,5,FALSE),"")</f>
        <v>9.0277777777777457E-3</v>
      </c>
      <c r="AM9" s="68">
        <f>IF(AND(Table2[[#This Row],[gap6]]="NA",Table2[[#This Row],[round6]]&lt;4/24),0,IFERROR((MAX(starting_interval,IF(Table2[[#This Row],[gap6]]="NA",Table2[[#This Row],[avg gap]],Table2[[#This Row],[gap6]]))-starting_interval)*Table2[[#This Row],[followers6]]/Table2[[#This Row],[group size6]],""))</f>
        <v>2.9166666666666223E-2</v>
      </c>
      <c r="AN9" s="32">
        <f>_xlfn.IFNA(VLOOKUP(Table2[[#This Row],[Name]],'Turkey Shoot - players'!$A$2:$B$65,2,FALSE),"")</f>
        <v>0.36805555555555558</v>
      </c>
      <c r="AO9" s="59">
        <f>IF(Table2[[#This Row],[tee time7]]&lt;&gt;"",COUNTIF('Turkey Shoot - players'!$B$2:$B$65,"="&amp;Table2[[#This Row],[tee time7]]),"")</f>
        <v>4</v>
      </c>
      <c r="AP9" s="59">
        <f>_xlfn.IFNA(VLOOKUP(Table2[[#This Row],[tee time7]],'Stableford - groups'!$A$3:$F$20,6,FALSE),"")</f>
        <v>40</v>
      </c>
      <c r="AQ9" s="11">
        <f>_xlfn.IFNA(VLOOKUP(Table2[[#This Row],[tee time7]],'Turkey Shoot - groups'!$A$3:$F$20,4,FALSE),"")</f>
        <v>0.17013888888888884</v>
      </c>
      <c r="AR9" s="13">
        <f>_xlfn.IFNA(VLOOKUP(Table2[[#This Row],[tee time7]],'Turkey Shoot - groups'!$A$3:$F$20,5,FALSE),"")</f>
        <v>6.2499999999999995E-3</v>
      </c>
      <c r="AS9" s="68">
        <f>IF(AND(Table2[[#This Row],[gap7]]="NA",Table2[[#This Row],[round7]]&lt;4/24),0,IFERROR((MAX(starting_interval,IF(Table2[[#This Row],[gap7]]="NA",Table2[[#This Row],[avg gap]],Table2[[#This Row],[gap7]]))-starting_interval)*Table2[[#This Row],[followers7]]/Table2[[#This Row],[group size7]],""))</f>
        <v>0</v>
      </c>
      <c r="AT9" s="72">
        <f>COUNT(Table2[[#This Row],[Tee time1]],Table2[[#This Row],[tee time2]],Table2[[#This Row],[tee time3]],Table2[[#This Row],[tee time4]],Table2[[#This Row],[tee time5]],Table2[[#This Row],[tee time6]],Table2[[#This Row],[tee time7]])</f>
        <v>7</v>
      </c>
      <c r="AU9" s="4">
        <f>IFERROR(AVERAGE(Table2[[#This Row],[Tee time1]],Table2[[#This Row],[tee time2]],Table2[[#This Row],[tee time3]],Table2[[#This Row],[tee time4]],Table2[[#This Row],[tee time5]],Table2[[#This Row],[tee time6]],Table2[[#This Row],[tee time7]]),"")</f>
        <v>0.35625000000000007</v>
      </c>
      <c r="AV9" s="11">
        <f>IFERROR(MEDIAN(Table2[[#This Row],[round1]],Table2[[#This Row],[Round2]],Table2[[#This Row],[round3]],Table2[[#This Row],[round4]],Table2[[#This Row],[round5]],Table2[[#This Row],[round6]],Table2[[#This Row],[round7]]),"")</f>
        <v>0.18124999999999997</v>
      </c>
      <c r="AW9" s="11">
        <f>IFERROR(AVERAGE(Table2[[#This Row],[gap1]],Table2[[#This Row],[gap2]],Table2[[#This Row],[gap3]],Table2[[#This Row],[gap4]],Table2[[#This Row],[gap5]],Table2[[#This Row],[gap6]],Table2[[#This Row],[gap7]]),"")</f>
        <v>8.4490740740740863E-3</v>
      </c>
      <c r="AX9" s="9">
        <f>IFERROR((Table2[[#This Row],[avg gap]]-starting_interval)*24*60*Table2[[#This Row],[Count]],"NA")</f>
        <v>15.166666666666792</v>
      </c>
      <c r="AY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0.21168981481481508</v>
      </c>
      <c r="AZ9" s="2"/>
    </row>
    <row r="10" spans="1:52" x14ac:dyDescent="0.3">
      <c r="A10" s="10" t="s">
        <v>78</v>
      </c>
      <c r="B10" s="1" t="s">
        <v>317</v>
      </c>
      <c r="C10" s="19">
        <v>15.3</v>
      </c>
      <c r="D10" s="32">
        <f>_xlfn.IFNA(VLOOKUP(Table2[[#This Row],[Name]],'Classic day 1 - players'!$A$2:$B$64,2,FALSE),"")</f>
        <v>0.36458333333333331</v>
      </c>
      <c r="E10" s="33">
        <f>IF(Table2[[#This Row],[Tee time1]]&lt;&gt;"",COUNTIF('Classic day 1 - players'!$B$2:$B$64,"="&amp;Table2[[#This Row],[Tee time1]]),"")</f>
        <v>4</v>
      </c>
      <c r="F10" s="33">
        <f>_xlfn.IFNA(VLOOKUP(Table2[[#This Row],[Tee time1]],'Classic day 1 - groups'!$A$3:$F$20,6,FALSE),"")</f>
        <v>48</v>
      </c>
      <c r="G10" s="11">
        <f>_xlfn.IFNA(VLOOKUP(Table2[[#This Row],[Tee time1]],'Classic day 1 - groups'!$A$3:$F$20,4,FALSE),"")</f>
        <v>0.19722222222222219</v>
      </c>
      <c r="H10" s="12">
        <f>_xlfn.IFNA(VLOOKUP(Table2[[#This Row],[Tee time1]],'Classic day 1 - groups'!$A$3:$F$20,5,FALSE),"")</f>
        <v>4.1666666666666519E-3</v>
      </c>
      <c r="I10" s="69">
        <f>IFERROR((MAX(starting_interval,IF(Table2[[#This Row],[gap1]]="NA",Table2[[#This Row],[avg gap]],Table2[[#This Row],[gap1]]))-starting_interval)*Table2[[#This Row],[followers1]]/Table2[[#This Row],[group size]],"")</f>
        <v>0</v>
      </c>
      <c r="J10" s="32">
        <f>_xlfn.IFNA(VLOOKUP(Table2[[#This Row],[Name]],'Classic day 2 - players'!$A$2:$B$64,2,FALSE),"")</f>
        <v>0.34583333333333338</v>
      </c>
      <c r="K10" s="33">
        <f>IF(Table2[[#This Row],[tee time2]]&lt;&gt;"",COUNTIF('Classic day 2 - players'!$B$2:$B$64,"="&amp;Table2[[#This Row],[tee time2]]),"")</f>
        <v>4</v>
      </c>
      <c r="L10" s="33">
        <f>_xlfn.IFNA(VLOOKUP(Table2[[#This Row],[tee time2]],'Classic day 2 - groups'!$A$3:$F$20,6,FALSE),"")</f>
        <v>44</v>
      </c>
      <c r="M10" s="4">
        <f>_xlfn.IFNA(VLOOKUP(Table2[[#This Row],[tee time2]],'Classic day 2 - groups'!$A$3:$F$20,4,FALSE),"")</f>
        <v>0.1875</v>
      </c>
      <c r="N10" s="65">
        <f>_xlfn.IFNA(VLOOKUP(Table2[[#This Row],[tee time2]],'Classic day 2 - groups'!$A$3:$F$20,5,FALSE),"")</f>
        <v>2.4305555555555556E-2</v>
      </c>
      <c r="O10" s="69">
        <f>IFERROR((MAX(starting_interval,IF(Table2[[#This Row],[gap2]]="NA",Table2[[#This Row],[avg gap]],Table2[[#This Row],[gap2]]))-starting_interval)*Table2[[#This Row],[followers2]]/Table2[[#This Row],[group size2]],"")</f>
        <v>0.19097222222222224</v>
      </c>
      <c r="P10" s="32" t="str">
        <f>_xlfn.IFNA(VLOOKUP(Table2[[#This Row],[Name]],'Summer FD - players'!$A$2:$B$65,2,FALSE),"")</f>
        <v/>
      </c>
      <c r="Q10" s="59" t="str">
        <f>IF(Table2[[#This Row],[tee time3]]&lt;&gt;"",COUNTIF('Summer FD - players'!$B$2:$B$65,"="&amp;Table2[[#This Row],[tee time3]]),"")</f>
        <v/>
      </c>
      <c r="R10" s="59" t="str">
        <f>_xlfn.IFNA(VLOOKUP(Table2[[#This Row],[tee time3]],'Summer FD - groups'!$A$3:$F$20,6,FALSE),"")</f>
        <v/>
      </c>
      <c r="S10" s="4" t="str">
        <f>_xlfn.IFNA(VLOOKUP(Table2[[#This Row],[tee time3]],'Summer FD - groups'!$A$3:$F$20,4,FALSE),"")</f>
        <v/>
      </c>
      <c r="T10" s="13" t="str">
        <f>_xlfn.IFNA(VLOOKUP(Table2[[#This Row],[tee time3]],'Summer FD - groups'!$A$3:$F$20,5,FALSE),"")</f>
        <v/>
      </c>
      <c r="U10" s="69" t="str">
        <f>IF(Table2[[#This Row],[avg gap]]&lt;&gt;"",IFERROR((MAX(starting_interval,IF(Table2[[#This Row],[gap3]]="NA",Table2[[#This Row],[avg gap]],Table2[[#This Row],[gap3]]))-starting_interval)*Table2[[#This Row],[followers3]]/Table2[[#This Row],[group size3]],""),"")</f>
        <v/>
      </c>
      <c r="V10" s="32" t="str">
        <f>_xlfn.IFNA(VLOOKUP(Table2[[#This Row],[Name]],'6-6-6 - players'!$A$2:$B$69,2,FALSE),"")</f>
        <v/>
      </c>
      <c r="W10" s="59" t="str">
        <f>IF(Table2[[#This Row],[tee time4]]&lt;&gt;"",COUNTIF('6-6-6 - players'!$B$2:$B$69,"="&amp;Table2[[#This Row],[tee time4]]),"")</f>
        <v/>
      </c>
      <c r="X10" s="59" t="str">
        <f>_xlfn.IFNA(VLOOKUP(Table2[[#This Row],[tee time4]],'6-6-6 - groups'!$A$3:$F$20,6,FALSE),"")</f>
        <v/>
      </c>
      <c r="Y10" s="4" t="str">
        <f>_xlfn.IFNA(VLOOKUP(Table2[[#This Row],[tee time4]],'6-6-6 - groups'!$A$3:$F$20,4,FALSE),"")</f>
        <v/>
      </c>
      <c r="Z10" s="13" t="str">
        <f>_xlfn.IFNA(VLOOKUP(Table2[[#This Row],[tee time4]],'6-6-6 - groups'!$A$3:$F$20,5,FALSE),"")</f>
        <v/>
      </c>
      <c r="AA10" s="69" t="str">
        <f>IF(Table2[[#This Row],[avg gap]]&lt;&gt;"",IFERROR((MAX(starting_interval,IF(Table2[[#This Row],[gap4]]="NA",Table2[[#This Row],[avg gap]],Table2[[#This Row],[gap4]]))-starting_interval)*Table2[[#This Row],[followers4]]/Table2[[#This Row],[group size4]],""),"")</f>
        <v/>
      </c>
      <c r="AB10" s="32">
        <f>_xlfn.IFNA(VLOOKUP(Table2[[#This Row],[Name]],'Fall FD - players'!$A$2:$B$65,2,FALSE),"")</f>
        <v>0.4069444444444445</v>
      </c>
      <c r="AC10" s="59">
        <f>IF(Table2[[#This Row],[tee time5]]&lt;&gt;"",COUNTIF('Fall FD - players'!$B$2:$B$65,"="&amp;Table2[[#This Row],[tee time5]]),"")</f>
        <v>4</v>
      </c>
      <c r="AD10" s="59">
        <f>_xlfn.IFNA(VLOOKUP(Table2[[#This Row],[tee time5]],'Fall FD - groups'!$A$3:$F$20,6,FALSE),"")</f>
        <v>28</v>
      </c>
      <c r="AE10" s="4">
        <f>_xlfn.IFNA(VLOOKUP(Table2[[#This Row],[tee time5]],'Fall FD - groups'!$A$3:$F$20,4,FALSE),"")</f>
        <v>0.18194444444444452</v>
      </c>
      <c r="AF10" s="13">
        <f>IFERROR(MIN(_xlfn.IFNA(VLOOKUP(Table2[[#This Row],[tee time5]],'Fall FD - groups'!$A$3:$F$20,5,FALSE),""),starting_interval + Table2[[#This Row],[round5]] - standard_round_time),"")</f>
        <v>5.5555555555555358E-3</v>
      </c>
      <c r="AG10" s="69">
        <f>IF(AND(Table2[[#This Row],[gap5]]="NA",Table2[[#This Row],[round5]]&lt;4/24),0,IFERROR((MAX(starting_interval,IF(Table2[[#This Row],[gap5]]="NA",Table2[[#This Row],[avg gap]],Table2[[#This Row],[gap5]]))-starting_interval)*Table2[[#This Row],[followers5]]/Table2[[#This Row],[group size5]],""))</f>
        <v>0</v>
      </c>
      <c r="AH10" s="32">
        <f>_xlfn.IFNA(VLOOKUP(Table2[[#This Row],[Name]],'Stableford - players'!$A$2:$B$65,2,FALSE),"")</f>
        <v>0.40972222222222227</v>
      </c>
      <c r="AI10" s="59">
        <f>IF(Table2[[#This Row],[tee time6]]&lt;&gt;"",COUNTIF('Stableford - players'!$B$2:$B$65,"="&amp;Table2[[#This Row],[tee time6]]),"")</f>
        <v>4</v>
      </c>
      <c r="AJ10" s="59">
        <f>_xlfn.IFNA(VLOOKUP(Table2[[#This Row],[tee time6]],'Stableford - groups'!$A$3:$F$20,6,FALSE),"")</f>
        <v>16</v>
      </c>
      <c r="AK10" s="11">
        <f>_xlfn.IFNA(VLOOKUP(Table2[[#This Row],[tee time6]],'Stableford - groups'!$A$3:$F$20,4,FALSE),"")</f>
        <v>0.17291666666666655</v>
      </c>
      <c r="AL10" s="13">
        <f>_xlfn.IFNA(VLOOKUP(Table2[[#This Row],[tee time6]],'Stableford - groups'!$A$3:$F$20,5,FALSE),"")</f>
        <v>8.3333333333333037E-3</v>
      </c>
      <c r="AM10" s="68">
        <f>IF(AND(Table2[[#This Row],[gap6]]="NA",Table2[[#This Row],[round6]]&lt;4/24),0,IFERROR((MAX(starting_interval,IF(Table2[[#This Row],[gap6]]="NA",Table2[[#This Row],[avg gap]],Table2[[#This Row],[gap6]]))-starting_interval)*Table2[[#This Row],[followers6]]/Table2[[#This Row],[group size6]],""))</f>
        <v>5.5555555555554387E-3</v>
      </c>
      <c r="AN10" s="32">
        <f>_xlfn.IFNA(VLOOKUP(Table2[[#This Row],[Name]],'Turkey Shoot - players'!$A$2:$B$65,2,FALSE),"")</f>
        <v>0.39583333333333331</v>
      </c>
      <c r="AO10" s="59">
        <f>IF(Table2[[#This Row],[tee time7]]&lt;&gt;"",COUNTIF('Turkey Shoot - players'!$B$2:$B$65,"="&amp;Table2[[#This Row],[tee time7]]),"")</f>
        <v>4</v>
      </c>
      <c r="AP10" s="59">
        <f>_xlfn.IFNA(VLOOKUP(Table2[[#This Row],[tee time7]],'Stableford - groups'!$A$3:$F$20,6,FALSE),"")</f>
        <v>24</v>
      </c>
      <c r="AQ10" s="11">
        <f>_xlfn.IFNA(VLOOKUP(Table2[[#This Row],[tee time7]],'Turkey Shoot - groups'!$A$3:$F$20,4,FALSE),"")</f>
        <v>0.17152777777777778</v>
      </c>
      <c r="AR10" s="13">
        <f>_xlfn.IFNA(VLOOKUP(Table2[[#This Row],[tee time7]],'Turkey Shoot - groups'!$A$3:$F$20,5,FALSE),"")</f>
        <v>8.3333333333333332E-3</v>
      </c>
      <c r="AS10" s="68">
        <f>IF(AND(Table2[[#This Row],[gap7]]="NA",Table2[[#This Row],[round7]]&lt;4/24),0,IFERROR((MAX(starting_interval,IF(Table2[[#This Row],[gap7]]="NA",Table2[[#This Row],[avg gap]],Table2[[#This Row],[gap7]]))-starting_interval)*Table2[[#This Row],[followers7]]/Table2[[#This Row],[group size7]],""))</f>
        <v>8.333333333333335E-3</v>
      </c>
      <c r="AT10" s="72">
        <f>COUNT(Table2[[#This Row],[Tee time1]],Table2[[#This Row],[tee time2]],Table2[[#This Row],[tee time3]],Table2[[#This Row],[tee time4]],Table2[[#This Row],[tee time5]],Table2[[#This Row],[tee time6]],Table2[[#This Row],[tee time7]])</f>
        <v>5</v>
      </c>
      <c r="AU10" s="4">
        <f>IFERROR(AVERAGE(Table2[[#This Row],[Tee time1]],Table2[[#This Row],[tee time2]],Table2[[#This Row],[tee time3]],Table2[[#This Row],[tee time4]],Table2[[#This Row],[tee time5]],Table2[[#This Row],[tee time6]],Table2[[#This Row],[tee time7]]),"")</f>
        <v>0.38458333333333339</v>
      </c>
      <c r="AV10" s="12">
        <f>IFERROR(MEDIAN(Table2[[#This Row],[round1]],Table2[[#This Row],[Round2]],Table2[[#This Row],[round3]],Table2[[#This Row],[round4]],Table2[[#This Row],[round5]],Table2[[#This Row],[round6]],Table2[[#This Row],[round7]]),"")</f>
        <v>0.18194444444444452</v>
      </c>
      <c r="AW10" s="11">
        <f>IFERROR(AVERAGE(Table2[[#This Row],[gap1]],Table2[[#This Row],[gap2]],Table2[[#This Row],[gap3]],Table2[[#This Row],[gap4]],Table2[[#This Row],[gap5]],Table2[[#This Row],[gap6]],Table2[[#This Row],[gap7]]),"")</f>
        <v>1.0138888888888874E-2</v>
      </c>
      <c r="AX10" s="9">
        <f>IFERROR((Table2[[#This Row],[avg gap]]-starting_interval)*24*60*Table2[[#This Row],[Count]],"NA")</f>
        <v>22.999999999999901</v>
      </c>
      <c r="AY1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0.20486111111111102</v>
      </c>
      <c r="AZ10" s="2"/>
    </row>
    <row r="11" spans="1:52" x14ac:dyDescent="0.3">
      <c r="A11" s="10" t="s">
        <v>50</v>
      </c>
      <c r="B11" s="1" t="s">
        <v>288</v>
      </c>
      <c r="C11" s="19">
        <v>20.2</v>
      </c>
      <c r="D11" s="32">
        <f>_xlfn.IFNA(VLOOKUP(Table2[[#This Row],[Name]],'Classic day 1 - players'!$A$2:$B$64,2,FALSE),"")</f>
        <v>0.43333333333333335</v>
      </c>
      <c r="E11" s="33">
        <f>IF(Table2[[#This Row],[Tee time1]]&lt;&gt;"",COUNTIF('Classic day 1 - players'!$B$2:$B$64,"="&amp;Table2[[#This Row],[Tee time1]]),"")</f>
        <v>4</v>
      </c>
      <c r="F11" s="33">
        <f>_xlfn.IFNA(VLOOKUP(Table2[[#This Row],[Tee time1]],'Classic day 1 - groups'!$A$3:$F$20,6,FALSE),"")</f>
        <v>4</v>
      </c>
      <c r="G11" s="11">
        <f>_xlfn.IFNA(VLOOKUP(Table2[[#This Row],[Tee time1]],'Classic day 1 - groups'!$A$3:$F$20,4,FALSE),"")</f>
        <v>0.19652777777777775</v>
      </c>
      <c r="H11" s="12">
        <f>_xlfn.IFNA(VLOOKUP(Table2[[#This Row],[Tee time1]],'Classic day 1 - groups'!$A$3:$F$20,5,FALSE),"")</f>
        <v>7.6388888888888618E-3</v>
      </c>
      <c r="I11" s="69">
        <f>IFERROR((MAX(starting_interval,IF(Table2[[#This Row],[gap1]]="NA",Table2[[#This Row],[avg gap]],Table2[[#This Row],[gap1]]))-starting_interval)*Table2[[#This Row],[followers1]]/Table2[[#This Row],[group size]],"")</f>
        <v>6.9444444444441769E-4</v>
      </c>
      <c r="J11" s="32">
        <f>_xlfn.IFNA(VLOOKUP(Table2[[#This Row],[Name]],'Classic day 2 - players'!$A$2:$B$64,2,FALSE),"")</f>
        <v>0.34583333333333338</v>
      </c>
      <c r="K11" s="33">
        <f>IF(Table2[[#This Row],[tee time2]]&lt;&gt;"",COUNTIF('Classic day 2 - players'!$B$2:$B$64,"="&amp;Table2[[#This Row],[tee time2]]),"")</f>
        <v>4</v>
      </c>
      <c r="L11" s="33">
        <f>_xlfn.IFNA(VLOOKUP(Table2[[#This Row],[tee time2]],'Classic day 2 - groups'!$A$3:$F$20,6,FALSE),"")</f>
        <v>44</v>
      </c>
      <c r="M11" s="4">
        <f>_xlfn.IFNA(VLOOKUP(Table2[[#This Row],[tee time2]],'Classic day 2 - groups'!$A$3:$F$20,4,FALSE),"")</f>
        <v>0.1875</v>
      </c>
      <c r="N11" s="65">
        <f>_xlfn.IFNA(VLOOKUP(Table2[[#This Row],[tee time2]],'Classic day 2 - groups'!$A$3:$F$20,5,FALSE),"")</f>
        <v>2.4305555555555556E-2</v>
      </c>
      <c r="O11" s="69">
        <f>IFERROR((MAX(starting_interval,IF(Table2[[#This Row],[gap2]]="NA",Table2[[#This Row],[avg gap]],Table2[[#This Row],[gap2]]))-starting_interval)*Table2[[#This Row],[followers2]]/Table2[[#This Row],[group size2]],"")</f>
        <v>0.19097222222222224</v>
      </c>
      <c r="P11" s="32">
        <f>_xlfn.IFNA(VLOOKUP(Table2[[#This Row],[Name]],'Summer FD - players'!$A$2:$B$65,2,FALSE),"")</f>
        <v>0.37777777777777777</v>
      </c>
      <c r="Q11" s="59">
        <f>IF(Table2[[#This Row],[tee time3]]&lt;&gt;"",COUNTIF('Summer FD - players'!$B$2:$B$65,"="&amp;Table2[[#This Row],[tee time3]]),"")</f>
        <v>4</v>
      </c>
      <c r="R11" s="59">
        <f>_xlfn.IFNA(VLOOKUP(Table2[[#This Row],[tee time3]],'Summer FD - groups'!$A$3:$F$20,6,FALSE),"")</f>
        <v>36</v>
      </c>
      <c r="S11" s="4">
        <f>_xlfn.IFNA(VLOOKUP(Table2[[#This Row],[tee time3]],'Summer FD - groups'!$A$3:$F$20,4,FALSE),"")</f>
        <v>0.18819444444444444</v>
      </c>
      <c r="T11" s="13">
        <f>_xlfn.IFNA(VLOOKUP(Table2[[#This Row],[tee time3]],'Summer FD - groups'!$A$3:$F$20,5,FALSE),"")</f>
        <v>5.5555555555555358E-3</v>
      </c>
      <c r="U11" s="69">
        <f>IF(Table2[[#This Row],[avg gap]]&lt;&gt;"",IFERROR((MAX(starting_interval,IF(Table2[[#This Row],[gap3]]="NA",Table2[[#This Row],[avg gap]],Table2[[#This Row],[gap3]]))-starting_interval)*Table2[[#This Row],[followers3]]/Table2[[#This Row],[group size3]],""),"")</f>
        <v>0</v>
      </c>
      <c r="V11" s="32">
        <f>_xlfn.IFNA(VLOOKUP(Table2[[#This Row],[Name]],'6-6-6 - players'!$A$2:$B$69,2,FALSE),"")</f>
        <v>0.39583333333333331</v>
      </c>
      <c r="W11" s="59">
        <f>IF(Table2[[#This Row],[tee time4]]&lt;&gt;"",COUNTIF('6-6-6 - players'!$B$2:$B$69,"="&amp;Table2[[#This Row],[tee time4]]),"")</f>
        <v>4</v>
      </c>
      <c r="X11" s="59">
        <f>_xlfn.IFNA(VLOOKUP(Table2[[#This Row],[tee time4]],'6-6-6 - groups'!$A$3:$F$20,6,FALSE),"")</f>
        <v>32</v>
      </c>
      <c r="Y11" s="4">
        <f>_xlfn.IFNA(VLOOKUP(Table2[[#This Row],[tee time4]],'6-6-6 - groups'!$A$3:$F$20,4,FALSE),"")</f>
        <v>0.17152777777777778</v>
      </c>
      <c r="Z11" s="13">
        <f>_xlfn.IFNA(VLOOKUP(Table2[[#This Row],[tee time4]],'6-6-6 - groups'!$A$3:$F$20,5,FALSE),"")</f>
        <v>4.8611111111110938E-3</v>
      </c>
      <c r="AA11" s="69">
        <f>IF(Table2[[#This Row],[avg gap]]&lt;&gt;"",IFERROR((MAX(starting_interval,IF(Table2[[#This Row],[gap4]]="NA",Table2[[#This Row],[avg gap]],Table2[[#This Row],[gap4]]))-starting_interval)*Table2[[#This Row],[followers4]]/Table2[[#This Row],[group size4]],""),"")</f>
        <v>0</v>
      </c>
      <c r="AB11" s="32" t="str">
        <f>_xlfn.IFNA(VLOOKUP(Table2[[#This Row],[Name]],'Fall FD - players'!$A$2:$B$65,2,FALSE),"")</f>
        <v/>
      </c>
      <c r="AC11" s="59" t="str">
        <f>IF(Table2[[#This Row],[tee time5]]&lt;&gt;"",COUNTIF('Fall FD - players'!$B$2:$B$65,"="&amp;Table2[[#This Row],[tee time5]]),"")</f>
        <v/>
      </c>
      <c r="AD11" s="59" t="str">
        <f>_xlfn.IFNA(VLOOKUP(Table2[[#This Row],[tee time5]],'Fall FD - groups'!$A$3:$F$20,6,FALSE),"")</f>
        <v/>
      </c>
      <c r="AE11" s="4" t="str">
        <f>_xlfn.IFNA(VLOOKUP(Table2[[#This Row],[tee time5]],'Fall FD - groups'!$A$3:$F$20,4,FALSE),"")</f>
        <v/>
      </c>
      <c r="AF11" s="13" t="str">
        <f>IFERROR(MIN(_xlfn.IFNA(VLOOKUP(Table2[[#This Row],[tee time5]],'Fall FD - groups'!$A$3:$F$20,5,FALSE),""),starting_interval + Table2[[#This Row],[round5]] - standard_round_time),"")</f>
        <v/>
      </c>
      <c r="AG11" s="69" t="str">
        <f>IF(AND(Table2[[#This Row],[gap5]]="NA",Table2[[#This Row],[round5]]&lt;4/24),0,IFERROR((MAX(starting_interval,IF(Table2[[#This Row],[gap5]]="NA",Table2[[#This Row],[avg gap]],Table2[[#This Row],[gap5]]))-starting_interval)*Table2[[#This Row],[followers5]]/Table2[[#This Row],[group size5]],""))</f>
        <v/>
      </c>
      <c r="AH11" s="32" t="str">
        <f>_xlfn.IFNA(VLOOKUP(Table2[[#This Row],[Name]],'Stableford - players'!$A$2:$B$65,2,FALSE),"")</f>
        <v/>
      </c>
      <c r="AI11" s="59" t="str">
        <f>IF(Table2[[#This Row],[tee time6]]&lt;&gt;"",COUNTIF('Stableford - players'!$B$2:$B$65,"="&amp;Table2[[#This Row],[tee time6]]),"")</f>
        <v/>
      </c>
      <c r="AJ11" s="59" t="str">
        <f>_xlfn.IFNA(VLOOKUP(Table2[[#This Row],[tee time6]],'Stableford - groups'!$A$3:$F$20,6,FALSE),"")</f>
        <v/>
      </c>
      <c r="AK11" s="11" t="str">
        <f>_xlfn.IFNA(VLOOKUP(Table2[[#This Row],[tee time6]],'Stableford - groups'!$A$3:$F$20,4,FALSE),"")</f>
        <v/>
      </c>
      <c r="AL11" s="13" t="str">
        <f>_xlfn.IFNA(VLOOKUP(Table2[[#This Row],[tee time6]],'Stableford - groups'!$A$3:$F$20,5,FALSE),"")</f>
        <v/>
      </c>
      <c r="AM11" s="68" t="str">
        <f>IF(AND(Table2[[#This Row],[gap6]]="NA",Table2[[#This Row],[round6]]&lt;4/24),0,IFERROR((MAX(starting_interval,IF(Table2[[#This Row],[gap6]]="NA",Table2[[#This Row],[avg gap]],Table2[[#This Row],[gap6]]))-starting_interval)*Table2[[#This Row],[followers6]]/Table2[[#This Row],[group size6]],""))</f>
        <v/>
      </c>
      <c r="AN11" s="32" t="str">
        <f>_xlfn.IFNA(VLOOKUP(Table2[[#This Row],[Name]],'Turkey Shoot - players'!$A$2:$B$65,2,FALSE),"")</f>
        <v/>
      </c>
      <c r="AO11" s="59" t="str">
        <f>IF(Table2[[#This Row],[tee time7]]&lt;&gt;"",COUNTIF('Turkey Shoot - players'!$B$2:$B$65,"="&amp;Table2[[#This Row],[tee time7]]),"")</f>
        <v/>
      </c>
      <c r="AP11" s="59" t="str">
        <f>_xlfn.IFNA(VLOOKUP(Table2[[#This Row],[tee time7]],'Stableford - groups'!$A$3:$F$20,6,FALSE),"")</f>
        <v/>
      </c>
      <c r="AQ11" s="11" t="str">
        <f>_xlfn.IFNA(VLOOKUP(Table2[[#This Row],[tee time7]],'Turkey Shoot - groups'!$A$3:$F$20,4,FALSE),"")</f>
        <v/>
      </c>
      <c r="AR11" s="13" t="str">
        <f>_xlfn.IFNA(VLOOKUP(Table2[[#This Row],[tee time7]],'Turkey Shoot - groups'!$A$3:$F$20,5,FALSE),"")</f>
        <v/>
      </c>
      <c r="AS11" s="68" t="str">
        <f>IF(AND(Table2[[#This Row],[gap7]]="NA",Table2[[#This Row],[round7]]&lt;4/24),0,IFERROR((MAX(starting_interval,IF(Table2[[#This Row],[gap7]]="NA",Table2[[#This Row],[avg gap]],Table2[[#This Row],[gap7]]))-starting_interval)*Table2[[#This Row],[followers7]]/Table2[[#This Row],[group size7]],""))</f>
        <v/>
      </c>
      <c r="AT11" s="72">
        <f>COUNT(Table2[[#This Row],[Tee time1]],Table2[[#This Row],[tee time2]],Table2[[#This Row],[tee time3]],Table2[[#This Row],[tee time4]],Table2[[#This Row],[tee time5]],Table2[[#This Row],[tee time6]],Table2[[#This Row],[tee time7]])</f>
        <v>4</v>
      </c>
      <c r="AU11" s="4">
        <f>IFERROR(AVERAGE(Table2[[#This Row],[Tee time1]],Table2[[#This Row],[tee time2]],Table2[[#This Row],[tee time3]],Table2[[#This Row],[tee time4]],Table2[[#This Row],[tee time5]],Table2[[#This Row],[tee time6]],Table2[[#This Row],[tee time7]]),"")</f>
        <v>0.38819444444444445</v>
      </c>
      <c r="AV11" s="12">
        <f>IFERROR(MEDIAN(Table2[[#This Row],[round1]],Table2[[#This Row],[Round2]],Table2[[#This Row],[round3]],Table2[[#This Row],[round4]],Table2[[#This Row],[round5]],Table2[[#This Row],[round6]],Table2[[#This Row],[round7]]),"")</f>
        <v>0.18784722222222222</v>
      </c>
      <c r="AW11" s="11">
        <f>IFERROR(AVERAGE(Table2[[#This Row],[gap1]],Table2[[#This Row],[gap2]],Table2[[#This Row],[gap3]],Table2[[#This Row],[gap4]],Table2[[#This Row],[gap5]],Table2[[#This Row],[gap6]],Table2[[#This Row],[gap7]]),"")</f>
        <v>1.0590277777777761E-2</v>
      </c>
      <c r="AX11" s="9">
        <f>IFERROR((Table2[[#This Row],[avg gap]]-starting_interval)*24*60*Table2[[#This Row],[Count]],"NA")</f>
        <v>20.999999999999904</v>
      </c>
      <c r="AY1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0.19166666666666665</v>
      </c>
      <c r="AZ11" s="2"/>
    </row>
    <row r="12" spans="1:52" x14ac:dyDescent="0.3">
      <c r="A12" s="10" t="s">
        <v>51</v>
      </c>
      <c r="B12" s="1" t="s">
        <v>289</v>
      </c>
      <c r="C12" s="19">
        <v>21.4</v>
      </c>
      <c r="D12" s="32">
        <f>_xlfn.IFNA(VLOOKUP(Table2[[#This Row],[Name]],'Classic day 1 - players'!$A$2:$B$64,2,FALSE),"")</f>
        <v>0.37708333333333338</v>
      </c>
      <c r="E12" s="33">
        <f>IF(Table2[[#This Row],[Tee time1]]&lt;&gt;"",COUNTIF('Classic day 1 - players'!$B$2:$B$64,"="&amp;Table2[[#This Row],[Tee time1]]),"")</f>
        <v>4</v>
      </c>
      <c r="F12" s="33">
        <f>_xlfn.IFNA(VLOOKUP(Table2[[#This Row],[Tee time1]],'Classic day 1 - groups'!$A$3:$F$20,6,FALSE),"")</f>
        <v>40</v>
      </c>
      <c r="G12" s="11">
        <f>_xlfn.IFNA(VLOOKUP(Table2[[#This Row],[Tee time1]],'Classic day 1 - groups'!$A$3:$F$20,4,FALSE),"")</f>
        <v>0.19861111111111118</v>
      </c>
      <c r="H12" s="12">
        <f>_xlfn.IFNA(VLOOKUP(Table2[[#This Row],[Tee time1]],'Classic day 1 - groups'!$A$3:$F$20,5,FALSE),"")</f>
        <v>7.6388888888889728E-3</v>
      </c>
      <c r="I12" s="69">
        <f>IFERROR((MAX(starting_interval,IF(Table2[[#This Row],[gap1]]="NA",Table2[[#This Row],[avg gap]],Table2[[#This Row],[gap1]]))-starting_interval)*Table2[[#This Row],[followers1]]/Table2[[#This Row],[group size]],"")</f>
        <v>6.9444444444452871E-3</v>
      </c>
      <c r="J12" s="32">
        <f>_xlfn.IFNA(VLOOKUP(Table2[[#This Row],[Name]],'Classic day 2 - players'!$A$2:$B$64,2,FALSE),"")</f>
        <v>0.36458333333333331</v>
      </c>
      <c r="K12" s="33">
        <f>IF(Table2[[#This Row],[tee time2]]&lt;&gt;"",COUNTIF('Classic day 2 - players'!$B$2:$B$64,"="&amp;Table2[[#This Row],[tee time2]]),"")</f>
        <v>4</v>
      </c>
      <c r="L12" s="33">
        <f>_xlfn.IFNA(VLOOKUP(Table2[[#This Row],[tee time2]],'Classic day 2 - groups'!$A$3:$F$20,6,FALSE),"")</f>
        <v>32</v>
      </c>
      <c r="M12" s="4">
        <f>_xlfn.IFNA(VLOOKUP(Table2[[#This Row],[tee time2]],'Classic day 2 - groups'!$A$3:$F$20,4,FALSE),"")</f>
        <v>0.19027777777777777</v>
      </c>
      <c r="N12" s="65">
        <f>_xlfn.IFNA(VLOOKUP(Table2[[#This Row],[tee time2]],'Classic day 2 - groups'!$A$3:$F$20,5,FALSE),"")</f>
        <v>1.2499999999999999E-2</v>
      </c>
      <c r="O12" s="69">
        <f>IFERROR((MAX(starting_interval,IF(Table2[[#This Row],[gap2]]="NA",Table2[[#This Row],[avg gap]],Table2[[#This Row],[gap2]]))-starting_interval)*Table2[[#This Row],[followers2]]/Table2[[#This Row],[group size2]],"")</f>
        <v>4.4444444444444439E-2</v>
      </c>
      <c r="P12" s="32">
        <f>_xlfn.IFNA(VLOOKUP(Table2[[#This Row],[Name]],'Summer FD - players'!$A$2:$B$65,2,FALSE),"")</f>
        <v>0.3430555555555555</v>
      </c>
      <c r="Q12" s="59">
        <f>IF(Table2[[#This Row],[tee time3]]&lt;&gt;"",COUNTIF('Summer FD - players'!$B$2:$B$65,"="&amp;Table2[[#This Row],[tee time3]]),"")</f>
        <v>4</v>
      </c>
      <c r="R12" s="59">
        <f>_xlfn.IFNA(VLOOKUP(Table2[[#This Row],[tee time3]],'Summer FD - groups'!$A$3:$F$20,6,FALSE),"")</f>
        <v>56</v>
      </c>
      <c r="S12" s="4">
        <f>_xlfn.IFNA(VLOOKUP(Table2[[#This Row],[tee time3]],'Summer FD - groups'!$A$3:$F$20,4,FALSE),"")</f>
        <v>0.19027777777777777</v>
      </c>
      <c r="T12" s="13">
        <f>_xlfn.IFNA(VLOOKUP(Table2[[#This Row],[tee time3]],'Summer FD - groups'!$A$3:$F$20,5,FALSE),"")</f>
        <v>1.041666666666663E-2</v>
      </c>
      <c r="U12" s="69">
        <f>IF(Table2[[#This Row],[avg gap]]&lt;&gt;"",IFERROR((MAX(starting_interval,IF(Table2[[#This Row],[gap3]]="NA",Table2[[#This Row],[avg gap]],Table2[[#This Row],[gap3]]))-starting_interval)*Table2[[#This Row],[followers3]]/Table2[[#This Row],[group size3]],""),"")</f>
        <v>4.8611111111110598E-2</v>
      </c>
      <c r="V12" s="32" t="str">
        <f>_xlfn.IFNA(VLOOKUP(Table2[[#This Row],[Name]],'6-6-6 - players'!$A$2:$B$69,2,FALSE),"")</f>
        <v/>
      </c>
      <c r="W12" s="59" t="str">
        <f>IF(Table2[[#This Row],[tee time4]]&lt;&gt;"",COUNTIF('6-6-6 - players'!$B$2:$B$69,"="&amp;Table2[[#This Row],[tee time4]]),"")</f>
        <v/>
      </c>
      <c r="X12" s="59" t="str">
        <f>_xlfn.IFNA(VLOOKUP(Table2[[#This Row],[tee time4]],'6-6-6 - groups'!$A$3:$F$20,6,FALSE),"")</f>
        <v/>
      </c>
      <c r="Y12" s="4" t="str">
        <f>_xlfn.IFNA(VLOOKUP(Table2[[#This Row],[tee time4]],'6-6-6 - groups'!$A$3:$F$20,4,FALSE),"")</f>
        <v/>
      </c>
      <c r="Z12" s="13" t="str">
        <f>_xlfn.IFNA(VLOOKUP(Table2[[#This Row],[tee time4]],'6-6-6 - groups'!$A$3:$F$20,5,FALSE),"")</f>
        <v/>
      </c>
      <c r="AA12" s="69" t="str">
        <f>IF(Table2[[#This Row],[avg gap]]&lt;&gt;"",IFERROR((MAX(starting_interval,IF(Table2[[#This Row],[gap4]]="NA",Table2[[#This Row],[avg gap]],Table2[[#This Row],[gap4]]))-starting_interval)*Table2[[#This Row],[followers4]]/Table2[[#This Row],[group size4]],""),"")</f>
        <v/>
      </c>
      <c r="AB12" s="32">
        <f>_xlfn.IFNA(VLOOKUP(Table2[[#This Row],[Name]],'Fall FD - players'!$A$2:$B$65,2,FALSE),"")</f>
        <v>0.33749999999999997</v>
      </c>
      <c r="AC12" s="59">
        <f>IF(Table2[[#This Row],[tee time5]]&lt;&gt;"",COUNTIF('Fall FD - players'!$B$2:$B$65,"="&amp;Table2[[#This Row],[tee time5]]),"")</f>
        <v>2</v>
      </c>
      <c r="AD12" s="59">
        <f>_xlfn.IFNA(VLOOKUP(Table2[[#This Row],[tee time5]],'Fall FD - groups'!$A$3:$F$20,6,FALSE),"")</f>
        <v>68</v>
      </c>
      <c r="AE12" s="4">
        <f>_xlfn.IFNA(VLOOKUP(Table2[[#This Row],[tee time5]],'Fall FD - groups'!$A$3:$F$20,4,FALSE),"")</f>
        <v>0.15000000000000002</v>
      </c>
      <c r="AF12" s="13" t="str">
        <f>IFERROR(MIN(_xlfn.IFNA(VLOOKUP(Table2[[#This Row],[tee time5]],'Fall FD - groups'!$A$3:$F$20,5,FALSE),""),starting_interval + Table2[[#This Row],[round5]] - standard_round_time),"")</f>
        <v/>
      </c>
      <c r="AG12" s="69">
        <f>IF(AND(Table2[[#This Row],[gap5]]="NA",Table2[[#This Row],[round5]]&lt;4/24),0,IFERROR((MAX(starting_interval,IF(Table2[[#This Row],[gap5]]="NA",Table2[[#This Row],[avg gap]],Table2[[#This Row],[gap5]]))-starting_interval)*Table2[[#This Row],[followers5]]/Table2[[#This Row],[group size5]],""))</f>
        <v>0</v>
      </c>
      <c r="AH12" s="32">
        <f>_xlfn.IFNA(VLOOKUP(Table2[[#This Row],[Name]],'Stableford - players'!$A$2:$B$65,2,FALSE),"")</f>
        <v>0.33333333333333331</v>
      </c>
      <c r="AI12" s="59">
        <f>IF(Table2[[#This Row],[tee time6]]&lt;&gt;"",COUNTIF('Stableford - players'!$B$2:$B$65,"="&amp;Table2[[#This Row],[tee time6]]),"")</f>
        <v>4</v>
      </c>
      <c r="AJ12" s="59">
        <f>_xlfn.IFNA(VLOOKUP(Table2[[#This Row],[tee time6]],'Stableford - groups'!$A$3:$F$20,6,FALSE),"")</f>
        <v>60</v>
      </c>
      <c r="AK12" s="11">
        <f>_xlfn.IFNA(VLOOKUP(Table2[[#This Row],[tee time6]],'Stableford - groups'!$A$3:$F$20,4,FALSE),"")</f>
        <v>0.1701388888888889</v>
      </c>
      <c r="AL12" s="13" t="str">
        <f>_xlfn.IFNA(VLOOKUP(Table2[[#This Row],[tee time6]],'Stableford - groups'!$A$3:$F$20,5,FALSE),"")</f>
        <v>NA</v>
      </c>
      <c r="AM12" s="68">
        <f>IF(AND(Table2[[#This Row],[gap6]]="NA",Table2[[#This Row],[round6]]&lt;4/24),0,IFERROR((MAX(starting_interval,IF(Table2[[#This Row],[gap6]]="NA",Table2[[#This Row],[avg gap]],Table2[[#This Row],[gap6]]))-starting_interval)*Table2[[#This Row],[followers6]]/Table2[[#This Row],[group size6]],""))</f>
        <v>4.8611111111111341E-2</v>
      </c>
      <c r="AN12" s="32">
        <f>_xlfn.IFNA(VLOOKUP(Table2[[#This Row],[Name]],'Turkey Shoot - players'!$A$2:$B$65,2,FALSE),"")</f>
        <v>0.3611111111111111</v>
      </c>
      <c r="AO12" s="59">
        <f>IF(Table2[[#This Row],[tee time7]]&lt;&gt;"",COUNTIF('Turkey Shoot - players'!$B$2:$B$65,"="&amp;Table2[[#This Row],[tee time7]]),"")</f>
        <v>4</v>
      </c>
      <c r="AP12" s="59">
        <f>_xlfn.IFNA(VLOOKUP(Table2[[#This Row],[tee time7]],'Stableford - groups'!$A$3:$F$20,6,FALSE),"")</f>
        <v>44</v>
      </c>
      <c r="AQ12" s="11">
        <f>_xlfn.IFNA(VLOOKUP(Table2[[#This Row],[tee time7]],'Turkey Shoot - groups'!$A$3:$F$20,4,FALSE),"")</f>
        <v>0.1701388888888889</v>
      </c>
      <c r="AR12" s="13" t="str">
        <f>_xlfn.IFNA(VLOOKUP(Table2[[#This Row],[tee time7]],'Turkey Shoot - groups'!$A$3:$F$20,5,FALSE),"")</f>
        <v>NA</v>
      </c>
      <c r="AS12" s="68">
        <f>IF(AND(Table2[[#This Row],[gap7]]="NA",Table2[[#This Row],[round7]]&lt;4/24),0,IFERROR((MAX(starting_interval,IF(Table2[[#This Row],[gap7]]="NA",Table2[[#This Row],[avg gap]],Table2[[#This Row],[gap7]]))-starting_interval)*Table2[[#This Row],[followers7]]/Table2[[#This Row],[group size7]],""))</f>
        <v>3.5648148148148318E-2</v>
      </c>
      <c r="AT12" s="72">
        <f>COUNT(Table2[[#This Row],[Tee time1]],Table2[[#This Row],[tee time2]],Table2[[#This Row],[tee time3]],Table2[[#This Row],[tee time4]],Table2[[#This Row],[tee time5]],Table2[[#This Row],[tee time6]],Table2[[#This Row],[tee time7]])</f>
        <v>6</v>
      </c>
      <c r="AU12" s="4">
        <f>IFERROR(AVERAGE(Table2[[#This Row],[Tee time1]],Table2[[#This Row],[tee time2]],Table2[[#This Row],[tee time3]],Table2[[#This Row],[tee time4]],Table2[[#This Row],[tee time5]],Table2[[#This Row],[tee time6]],Table2[[#This Row],[tee time7]]),"")</f>
        <v>0.35277777777777769</v>
      </c>
      <c r="AV12" s="12">
        <f>IFERROR(MEDIAN(Table2[[#This Row],[round1]],Table2[[#This Row],[Round2]],Table2[[#This Row],[round3]],Table2[[#This Row],[round4]],Table2[[#This Row],[round5]],Table2[[#This Row],[round6]],Table2[[#This Row],[round7]]),"")</f>
        <v>0.18020833333333333</v>
      </c>
      <c r="AW12" s="11">
        <f>IFERROR(AVERAGE(Table2[[#This Row],[gap1]],Table2[[#This Row],[gap2]],Table2[[#This Row],[gap3]],Table2[[#This Row],[gap4]],Table2[[#This Row],[gap5]],Table2[[#This Row],[gap6]],Table2[[#This Row],[gap7]]),"")</f>
        <v>1.01851851851852E-2</v>
      </c>
      <c r="AX12" s="9">
        <f>IFERROR((Table2[[#This Row],[avg gap]]-starting_interval)*24*60*Table2[[#This Row],[Count]],"NA")</f>
        <v>28.000000000000128</v>
      </c>
      <c r="AY1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0.18425925925925998</v>
      </c>
      <c r="AZ12" s="2"/>
    </row>
    <row r="13" spans="1:52" x14ac:dyDescent="0.3">
      <c r="A13" s="10" t="s">
        <v>104</v>
      </c>
      <c r="B13" s="1" t="s">
        <v>343</v>
      </c>
      <c r="C13" s="19">
        <v>13.4</v>
      </c>
      <c r="D13" s="32">
        <f>_xlfn.IFNA(VLOOKUP(Table2[[#This Row],[Name]],'Classic day 1 - players'!$A$2:$B$64,2,FALSE),"")</f>
        <v>0.33333333333333331</v>
      </c>
      <c r="E13" s="33">
        <f>IF(Table2[[#This Row],[Tee time1]]&lt;&gt;"",COUNTIF('Classic day 1 - players'!$B$2:$B$64,"="&amp;Table2[[#This Row],[Tee time1]]),"")</f>
        <v>4</v>
      </c>
      <c r="F13" s="33">
        <f>_xlfn.IFNA(VLOOKUP(Table2[[#This Row],[Tee time1]],'Classic day 1 - groups'!$A$3:$F$20,6,FALSE),"")</f>
        <v>68</v>
      </c>
      <c r="G13" s="11">
        <f>_xlfn.IFNA(VLOOKUP(Table2[[#This Row],[Tee time1]],'Classic day 1 - groups'!$A$3:$F$20,4,FALSE),"")</f>
        <v>0.19444444444444448</v>
      </c>
      <c r="H13" s="12" t="str">
        <f>_xlfn.IFNA(VLOOKUP(Table2[[#This Row],[Tee time1]],'Classic day 1 - groups'!$A$3:$F$20,5,FALSE),"")</f>
        <v>NA</v>
      </c>
      <c r="I13" s="69">
        <f>IFERROR((MAX(starting_interval,IF(Table2[[#This Row],[gap1]]="NA",Table2[[#This Row],[avg gap]],Table2[[#This Row],[gap1]]))-starting_interval)*Table2[[#This Row],[followers1]]/Table2[[#This Row],[group size]],"")</f>
        <v>3.0694444444444496E-2</v>
      </c>
      <c r="J13" s="32">
        <f>_xlfn.IFNA(VLOOKUP(Table2[[#This Row],[Name]],'Classic day 2 - players'!$A$2:$B$64,2,FALSE),"")</f>
        <v>0.40833333333333338</v>
      </c>
      <c r="K13" s="33">
        <f>IF(Table2[[#This Row],[tee time2]]&lt;&gt;"",COUNTIF('Classic day 2 - players'!$B$2:$B$64,"="&amp;Table2[[#This Row],[tee time2]]),"")</f>
        <v>3</v>
      </c>
      <c r="L13" s="33">
        <f>_xlfn.IFNA(VLOOKUP(Table2[[#This Row],[tee time2]],'Classic day 2 - groups'!$A$3:$F$20,6,FALSE),"")</f>
        <v>4</v>
      </c>
      <c r="M13" s="4">
        <f>_xlfn.IFNA(VLOOKUP(Table2[[#This Row],[tee time2]],'Classic day 2 - groups'!$A$3:$F$20,4,FALSE),"")</f>
        <v>0.19236111111111112</v>
      </c>
      <c r="N13" s="65">
        <f>_xlfn.IFNA(VLOOKUP(Table2[[#This Row],[tee time2]],'Classic day 2 - groups'!$A$3:$F$20,5,FALSE),"")</f>
        <v>9.0277777777777787E-3</v>
      </c>
      <c r="O13" s="69">
        <f>IFERROR((MAX(starting_interval,IF(Table2[[#This Row],[gap2]]="NA",Table2[[#This Row],[avg gap]],Table2[[#This Row],[gap2]]))-starting_interval)*Table2[[#This Row],[followers2]]/Table2[[#This Row],[group size2]],"")</f>
        <v>2.7777777777777796E-3</v>
      </c>
      <c r="P13" s="32" t="str">
        <f>_xlfn.IFNA(VLOOKUP(Table2[[#This Row],[Name]],'Summer FD - players'!$A$2:$B$65,2,FALSE),"")</f>
        <v/>
      </c>
      <c r="Q13" s="59" t="str">
        <f>IF(Table2[[#This Row],[tee time3]]&lt;&gt;"",COUNTIF('Summer FD - players'!$B$2:$B$65,"="&amp;Table2[[#This Row],[tee time3]]),"")</f>
        <v/>
      </c>
      <c r="R13" s="59" t="str">
        <f>_xlfn.IFNA(VLOOKUP(Table2[[#This Row],[tee time3]],'Summer FD - groups'!$A$3:$F$20,6,FALSE),"")</f>
        <v/>
      </c>
      <c r="S13" s="4" t="str">
        <f>_xlfn.IFNA(VLOOKUP(Table2[[#This Row],[tee time3]],'Summer FD - groups'!$A$3:$F$20,4,FALSE),"")</f>
        <v/>
      </c>
      <c r="T13" s="13" t="str">
        <f>_xlfn.IFNA(VLOOKUP(Table2[[#This Row],[tee time3]],'Summer FD - groups'!$A$3:$F$20,5,FALSE),"")</f>
        <v/>
      </c>
      <c r="U13" s="69" t="str">
        <f>IF(Table2[[#This Row],[avg gap]]&lt;&gt;"",IFERROR((MAX(starting_interval,IF(Table2[[#This Row],[gap3]]="NA",Table2[[#This Row],[avg gap]],Table2[[#This Row],[gap3]]))-starting_interval)*Table2[[#This Row],[followers3]]/Table2[[#This Row],[group size3]],""),"")</f>
        <v/>
      </c>
      <c r="V13" s="32">
        <f>_xlfn.IFNA(VLOOKUP(Table2[[#This Row],[Name]],'6-6-6 - players'!$A$2:$B$69,2,FALSE),"")</f>
        <v>0.34722222222222227</v>
      </c>
      <c r="W13" s="59">
        <f>IF(Table2[[#This Row],[tee time4]]&lt;&gt;"",COUNTIF('6-6-6 - players'!$B$2:$B$69,"="&amp;Table2[[#This Row],[tee time4]]),"")</f>
        <v>4</v>
      </c>
      <c r="X13" s="59">
        <f>_xlfn.IFNA(VLOOKUP(Table2[[#This Row],[tee time4]],'6-6-6 - groups'!$A$3:$F$20,6,FALSE),"")</f>
        <v>60</v>
      </c>
      <c r="Y13" s="4">
        <f>_xlfn.IFNA(VLOOKUP(Table2[[#This Row],[tee time4]],'6-6-6 - groups'!$A$3:$F$20,4,FALSE),"")</f>
        <v>0.1736111111111111</v>
      </c>
      <c r="Z13" s="13">
        <f>_xlfn.IFNA(VLOOKUP(Table2[[#This Row],[tee time4]],'6-6-6 - groups'!$A$3:$F$20,5,FALSE),"")</f>
        <v>4.8611111111112049E-3</v>
      </c>
      <c r="AA13" s="69">
        <f>IF(Table2[[#This Row],[avg gap]]&lt;&gt;"",IFERROR((MAX(starting_interval,IF(Table2[[#This Row],[gap4]]="NA",Table2[[#This Row],[avg gap]],Table2[[#This Row],[gap4]]))-starting_interval)*Table2[[#This Row],[followers4]]/Table2[[#This Row],[group size4]],""),"")</f>
        <v>0</v>
      </c>
      <c r="AB13" s="32">
        <f>_xlfn.IFNA(VLOOKUP(Table2[[#This Row],[Name]],'Fall FD - players'!$A$2:$B$65,2,FALSE),"")</f>
        <v>0.37916666666666665</v>
      </c>
      <c r="AC13" s="59">
        <f>IF(Table2[[#This Row],[tee time5]]&lt;&gt;"",COUNTIF('Fall FD - players'!$B$2:$B$65,"="&amp;Table2[[#This Row],[tee time5]]),"")</f>
        <v>4</v>
      </c>
      <c r="AD13" s="59">
        <f>_xlfn.IFNA(VLOOKUP(Table2[[#This Row],[tee time5]],'Fall FD - groups'!$A$3:$F$20,6,FALSE),"")</f>
        <v>44</v>
      </c>
      <c r="AE13" s="4">
        <f>_xlfn.IFNA(VLOOKUP(Table2[[#This Row],[tee time5]],'Fall FD - groups'!$A$3:$F$20,4,FALSE),"")</f>
        <v>0.18124999999999997</v>
      </c>
      <c r="AF13" s="13">
        <f>IFERROR(MIN(_xlfn.IFNA(VLOOKUP(Table2[[#This Row],[tee time5]],'Fall FD - groups'!$A$3:$F$20,5,FALSE),""),starting_interval + Table2[[#This Row],[round5]] - standard_round_time),"")</f>
        <v>1.4583333333333282E-2</v>
      </c>
      <c r="AG13" s="69">
        <f>IF(AND(Table2[[#This Row],[gap5]]="NA",Table2[[#This Row],[round5]]&lt;4/24),0,IFERROR((MAX(starting_interval,IF(Table2[[#This Row],[gap5]]="NA",Table2[[#This Row],[avg gap]],Table2[[#This Row],[gap5]]))-starting_interval)*Table2[[#This Row],[followers5]]/Table2[[#This Row],[group size5]],""))</f>
        <v>8.4027777777777216E-2</v>
      </c>
      <c r="AH13" s="32">
        <f>_xlfn.IFNA(VLOOKUP(Table2[[#This Row],[Name]],'Stableford - players'!$A$2:$B$65,2,FALSE),"")</f>
        <v>0.34027777777777773</v>
      </c>
      <c r="AI13" s="59">
        <f>IF(Table2[[#This Row],[tee time6]]&lt;&gt;"",COUNTIF('Stableford - players'!$B$2:$B$65,"="&amp;Table2[[#This Row],[tee time6]]),"")</f>
        <v>4</v>
      </c>
      <c r="AJ13" s="59">
        <f>_xlfn.IFNA(VLOOKUP(Table2[[#This Row],[tee time6]],'Stableford - groups'!$A$3:$F$20,6,FALSE),"")</f>
        <v>56</v>
      </c>
      <c r="AK13" s="11">
        <f>_xlfn.IFNA(VLOOKUP(Table2[[#This Row],[tee time6]],'Stableford - groups'!$A$3:$F$20,4,FALSE),"")</f>
        <v>0.17152777777777778</v>
      </c>
      <c r="AL13" s="13">
        <f>_xlfn.IFNA(VLOOKUP(Table2[[#This Row],[tee time6]],'Stableford - groups'!$A$3:$F$20,5,FALSE),"")</f>
        <v>9.0277777777777457E-3</v>
      </c>
      <c r="AM13" s="68">
        <f>IF(AND(Table2[[#This Row],[gap6]]="NA",Table2[[#This Row],[round6]]&lt;4/24),0,IFERROR((MAX(starting_interval,IF(Table2[[#This Row],[gap6]]="NA",Table2[[#This Row],[avg gap]],Table2[[#This Row],[gap6]]))-starting_interval)*Table2[[#This Row],[followers6]]/Table2[[#This Row],[group size6]],""))</f>
        <v>2.9166666666666223E-2</v>
      </c>
      <c r="AN13" s="32">
        <f>_xlfn.IFNA(VLOOKUP(Table2[[#This Row],[Name]],'Turkey Shoot - players'!$A$2:$B$65,2,FALSE),"")</f>
        <v>0.36805555555555558</v>
      </c>
      <c r="AO13" s="59">
        <f>IF(Table2[[#This Row],[tee time7]]&lt;&gt;"",COUNTIF('Turkey Shoot - players'!$B$2:$B$65,"="&amp;Table2[[#This Row],[tee time7]]),"")</f>
        <v>4</v>
      </c>
      <c r="AP13" s="59">
        <f>_xlfn.IFNA(VLOOKUP(Table2[[#This Row],[tee time7]],'Stableford - groups'!$A$3:$F$20,6,FALSE),"")</f>
        <v>40</v>
      </c>
      <c r="AQ13" s="11">
        <f>_xlfn.IFNA(VLOOKUP(Table2[[#This Row],[tee time7]],'Turkey Shoot - groups'!$A$3:$F$20,4,FALSE),"")</f>
        <v>0.17013888888888884</v>
      </c>
      <c r="AR13" s="13">
        <f>_xlfn.IFNA(VLOOKUP(Table2[[#This Row],[tee time7]],'Turkey Shoot - groups'!$A$3:$F$20,5,FALSE),"")</f>
        <v>6.2499999999999995E-3</v>
      </c>
      <c r="AS13" s="68">
        <f>IF(AND(Table2[[#This Row],[gap7]]="NA",Table2[[#This Row],[round7]]&lt;4/24),0,IFERROR((MAX(starting_interval,IF(Table2[[#This Row],[gap7]]="NA",Table2[[#This Row],[avg gap]],Table2[[#This Row],[gap7]]))-starting_interval)*Table2[[#This Row],[followers7]]/Table2[[#This Row],[group size7]],""))</f>
        <v>0</v>
      </c>
      <c r="AT13" s="72">
        <f>COUNT(Table2[[#This Row],[Tee time1]],Table2[[#This Row],[tee time2]],Table2[[#This Row],[tee time3]],Table2[[#This Row],[tee time4]],Table2[[#This Row],[tee time5]],Table2[[#This Row],[tee time6]],Table2[[#This Row],[tee time7]])</f>
        <v>6</v>
      </c>
      <c r="AU13" s="4">
        <f>IFERROR(AVERAGE(Table2[[#This Row],[Tee time1]],Table2[[#This Row],[tee time2]],Table2[[#This Row],[tee time3]],Table2[[#This Row],[tee time4]],Table2[[#This Row],[tee time5]],Table2[[#This Row],[tee time6]],Table2[[#This Row],[tee time7]]),"")</f>
        <v>0.36273148148148149</v>
      </c>
      <c r="AV13" s="11">
        <f>IFERROR(MEDIAN(Table2[[#This Row],[round1]],Table2[[#This Row],[Round2]],Table2[[#This Row],[round3]],Table2[[#This Row],[round4]],Table2[[#This Row],[round5]],Table2[[#This Row],[round6]],Table2[[#This Row],[round7]]),"")</f>
        <v>0.17743055555555554</v>
      </c>
      <c r="AW13" s="11">
        <f>IFERROR(AVERAGE(Table2[[#This Row],[gap1]],Table2[[#This Row],[gap2]],Table2[[#This Row],[gap3]],Table2[[#This Row],[gap4]],Table2[[#This Row],[gap5]],Table2[[#This Row],[gap6]],Table2[[#This Row],[gap7]]),"")</f>
        <v>8.7500000000000026E-3</v>
      </c>
      <c r="AX13" s="9">
        <f>IFERROR((Table2[[#This Row],[avg gap]]-starting_interval)*24*60*Table2[[#This Row],[Count]],"NA")</f>
        <v>15.600000000000025</v>
      </c>
      <c r="AY1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0.14666666666666572</v>
      </c>
      <c r="AZ13" s="2"/>
    </row>
    <row r="14" spans="1:52" x14ac:dyDescent="0.3">
      <c r="A14" s="10" t="s">
        <v>138</v>
      </c>
      <c r="B14" s="1" t="s">
        <v>379</v>
      </c>
      <c r="C14" s="19">
        <v>22.4</v>
      </c>
      <c r="D14" s="32">
        <f>_xlfn.IFNA(VLOOKUP(Table2[[#This Row],[Name]],'Classic day 1 - players'!$A$2:$B$64,2,FALSE),"")</f>
        <v>0.33958333333333335</v>
      </c>
      <c r="E14" s="33">
        <f>IF(Table2[[#This Row],[Tee time1]]&lt;&gt;"",COUNTIF('Classic day 1 - players'!$B$2:$B$64,"="&amp;Table2[[#This Row],[Tee time1]]),"")</f>
        <v>4</v>
      </c>
      <c r="F14" s="33">
        <f>_xlfn.IFNA(VLOOKUP(Table2[[#This Row],[Tee time1]],'Classic day 1 - groups'!$A$3:$F$20,6,FALSE),"")</f>
        <v>64</v>
      </c>
      <c r="G14" s="11">
        <f>_xlfn.IFNA(VLOOKUP(Table2[[#This Row],[Tee time1]],'Classic day 1 - groups'!$A$3:$F$20,4,FALSE),"")</f>
        <v>0.19930555555555551</v>
      </c>
      <c r="H14" s="12">
        <f>_xlfn.IFNA(VLOOKUP(Table2[[#This Row],[Tee time1]],'Classic day 1 - groups'!$A$3:$F$20,5,FALSE),"")</f>
        <v>1.1111111111111072E-2</v>
      </c>
      <c r="I14" s="69">
        <f>IFERROR((MAX(starting_interval,IF(Table2[[#This Row],[gap1]]="NA",Table2[[#This Row],[avg gap]],Table2[[#This Row],[gap1]]))-starting_interval)*Table2[[#This Row],[followers1]]/Table2[[#This Row],[group size]],"")</f>
        <v>6.6666666666666041E-2</v>
      </c>
      <c r="J14" s="32">
        <f>_xlfn.IFNA(VLOOKUP(Table2[[#This Row],[Name]],'Classic day 2 - players'!$A$2:$B$64,2,FALSE),"")</f>
        <v>0.37708333333333338</v>
      </c>
      <c r="K14" s="33">
        <f>IF(Table2[[#This Row],[tee time2]]&lt;&gt;"",COUNTIF('Classic day 2 - players'!$B$2:$B$64,"="&amp;Table2[[#This Row],[tee time2]]),"")</f>
        <v>4</v>
      </c>
      <c r="L14" s="33">
        <f>_xlfn.IFNA(VLOOKUP(Table2[[#This Row],[tee time2]],'Classic day 2 - groups'!$A$3:$F$20,6,FALSE),"")</f>
        <v>24</v>
      </c>
      <c r="M14" s="4">
        <f>_xlfn.IFNA(VLOOKUP(Table2[[#This Row],[tee time2]],'Classic day 2 - groups'!$A$3:$F$20,4,FALSE),"")</f>
        <v>0.18819444444444444</v>
      </c>
      <c r="N14" s="65">
        <f>_xlfn.IFNA(VLOOKUP(Table2[[#This Row],[tee time2]],'Classic day 2 - groups'!$A$3:$F$20,5,FALSE),"")</f>
        <v>6.9444444444444441E-3</v>
      </c>
      <c r="O14" s="69">
        <f>IFERROR((MAX(starting_interval,IF(Table2[[#This Row],[gap2]]="NA",Table2[[#This Row],[avg gap]],Table2[[#This Row],[gap2]]))-starting_interval)*Table2[[#This Row],[followers2]]/Table2[[#This Row],[group size2]],"")</f>
        <v>0</v>
      </c>
      <c r="P14" s="32">
        <f>_xlfn.IFNA(VLOOKUP(Table2[[#This Row],[Name]],'Summer FD - players'!$A$2:$B$65,2,FALSE),"")</f>
        <v>0.3430555555555555</v>
      </c>
      <c r="Q14" s="59">
        <f>IF(Table2[[#This Row],[tee time3]]&lt;&gt;"",COUNTIF('Summer FD - players'!$B$2:$B$65,"="&amp;Table2[[#This Row],[tee time3]]),"")</f>
        <v>4</v>
      </c>
      <c r="R14" s="59">
        <f>_xlfn.IFNA(VLOOKUP(Table2[[#This Row],[tee time3]],'Summer FD - groups'!$A$3:$F$20,6,FALSE),"")</f>
        <v>56</v>
      </c>
      <c r="S14" s="4">
        <f>_xlfn.IFNA(VLOOKUP(Table2[[#This Row],[tee time3]],'Summer FD - groups'!$A$3:$F$20,4,FALSE),"")</f>
        <v>0.19027777777777777</v>
      </c>
      <c r="T14" s="13">
        <f>_xlfn.IFNA(VLOOKUP(Table2[[#This Row],[tee time3]],'Summer FD - groups'!$A$3:$F$20,5,FALSE),"")</f>
        <v>1.041666666666663E-2</v>
      </c>
      <c r="U14" s="69">
        <f>IF(Table2[[#This Row],[avg gap]]&lt;&gt;"",IFERROR((MAX(starting_interval,IF(Table2[[#This Row],[gap3]]="NA",Table2[[#This Row],[avg gap]],Table2[[#This Row],[gap3]]))-starting_interval)*Table2[[#This Row],[followers3]]/Table2[[#This Row],[group size3]],""),"")</f>
        <v>4.8611111111110598E-2</v>
      </c>
      <c r="V14" s="32" t="str">
        <f>_xlfn.IFNA(VLOOKUP(Table2[[#This Row],[Name]],'6-6-6 - players'!$A$2:$B$69,2,FALSE),"")</f>
        <v/>
      </c>
      <c r="W14" s="59" t="str">
        <f>IF(Table2[[#This Row],[tee time4]]&lt;&gt;"",COUNTIF('6-6-6 - players'!$B$2:$B$69,"="&amp;Table2[[#This Row],[tee time4]]),"")</f>
        <v/>
      </c>
      <c r="X14" s="59" t="str">
        <f>_xlfn.IFNA(VLOOKUP(Table2[[#This Row],[tee time4]],'6-6-6 - groups'!$A$3:$F$20,6,FALSE),"")</f>
        <v/>
      </c>
      <c r="Y14" s="4" t="str">
        <f>_xlfn.IFNA(VLOOKUP(Table2[[#This Row],[tee time4]],'6-6-6 - groups'!$A$3:$F$20,4,FALSE),"")</f>
        <v/>
      </c>
      <c r="Z14" s="13" t="str">
        <f>_xlfn.IFNA(VLOOKUP(Table2[[#This Row],[tee time4]],'6-6-6 - groups'!$A$3:$F$20,5,FALSE),"")</f>
        <v/>
      </c>
      <c r="AA14" s="69" t="str">
        <f>IF(Table2[[#This Row],[avg gap]]&lt;&gt;"",IFERROR((MAX(starting_interval,IF(Table2[[#This Row],[gap4]]="NA",Table2[[#This Row],[avg gap]],Table2[[#This Row],[gap4]]))-starting_interval)*Table2[[#This Row],[followers4]]/Table2[[#This Row],[group size4]],""),"")</f>
        <v/>
      </c>
      <c r="AB14" s="32">
        <f>_xlfn.IFNA(VLOOKUP(Table2[[#This Row],[Name]],'Fall FD - players'!$A$2:$B$65,2,FALSE),"")</f>
        <v>0.39305555555555555</v>
      </c>
      <c r="AC14" s="59">
        <f>IF(Table2[[#This Row],[tee time5]]&lt;&gt;"",COUNTIF('Fall FD - players'!$B$2:$B$65,"="&amp;Table2[[#This Row],[tee time5]]),"")</f>
        <v>4</v>
      </c>
      <c r="AD14" s="59">
        <f>_xlfn.IFNA(VLOOKUP(Table2[[#This Row],[tee time5]],'Fall FD - groups'!$A$3:$F$20,6,FALSE),"")</f>
        <v>36</v>
      </c>
      <c r="AE14" s="4">
        <f>_xlfn.IFNA(VLOOKUP(Table2[[#This Row],[tee time5]],'Fall FD - groups'!$A$3:$F$20,4,FALSE),"")</f>
        <v>0.18263888888888885</v>
      </c>
      <c r="AF14" s="13">
        <f>IFERROR(MIN(_xlfn.IFNA(VLOOKUP(Table2[[#This Row],[tee time5]],'Fall FD - groups'!$A$3:$F$20,5,FALSE),""),starting_interval + Table2[[#This Row],[round5]] - standard_round_time),"")</f>
        <v>9.0277777777777457E-3</v>
      </c>
      <c r="AG14" s="69">
        <f>IF(AND(Table2[[#This Row],[gap5]]="NA",Table2[[#This Row],[round5]]&lt;4/24),0,IFERROR((MAX(starting_interval,IF(Table2[[#This Row],[gap5]]="NA",Table2[[#This Row],[avg gap]],Table2[[#This Row],[gap5]]))-starting_interval)*Table2[[#This Row],[followers5]]/Table2[[#This Row],[group size5]],""))</f>
        <v>1.8749999999999715E-2</v>
      </c>
      <c r="AH14" s="32" t="str">
        <f>_xlfn.IFNA(VLOOKUP(Table2[[#This Row],[Name]],'Stableford - players'!$A$2:$B$65,2,FALSE),"")</f>
        <v/>
      </c>
      <c r="AI14" s="59" t="str">
        <f>IF(Table2[[#This Row],[tee time6]]&lt;&gt;"",COUNTIF('Stableford - players'!$B$2:$B$65,"="&amp;Table2[[#This Row],[tee time6]]),"")</f>
        <v/>
      </c>
      <c r="AJ14" s="59" t="str">
        <f>_xlfn.IFNA(VLOOKUP(Table2[[#This Row],[tee time6]],'Stableford - groups'!$A$3:$F$20,6,FALSE),"")</f>
        <v/>
      </c>
      <c r="AK14" s="11" t="str">
        <f>_xlfn.IFNA(VLOOKUP(Table2[[#This Row],[tee time6]],'Stableford - groups'!$A$3:$F$20,4,FALSE),"")</f>
        <v/>
      </c>
      <c r="AL14" s="13" t="str">
        <f>_xlfn.IFNA(VLOOKUP(Table2[[#This Row],[tee time6]],'Stableford - groups'!$A$3:$F$20,5,FALSE),"")</f>
        <v/>
      </c>
      <c r="AM14" s="68" t="str">
        <f>IF(AND(Table2[[#This Row],[gap6]]="NA",Table2[[#This Row],[round6]]&lt;4/24),0,IFERROR((MAX(starting_interval,IF(Table2[[#This Row],[gap6]]="NA",Table2[[#This Row],[avg gap]],Table2[[#This Row],[gap6]]))-starting_interval)*Table2[[#This Row],[followers6]]/Table2[[#This Row],[group size6]],""))</f>
        <v/>
      </c>
      <c r="AN14" s="32">
        <f>_xlfn.IFNA(VLOOKUP(Table2[[#This Row],[Name]],'Turkey Shoot - players'!$A$2:$B$65,2,FALSE),"")</f>
        <v>0.44444444444444442</v>
      </c>
      <c r="AO14" s="59">
        <f>IF(Table2[[#This Row],[tee time7]]&lt;&gt;"",COUNTIF('Turkey Shoot - players'!$B$2:$B$65,"="&amp;Table2[[#This Row],[tee time7]]),"")</f>
        <v>4</v>
      </c>
      <c r="AP14" s="59" t="str">
        <f>_xlfn.IFNA(VLOOKUP(Table2[[#This Row],[tee time7]],'Stableford - groups'!$A$3:$F$20,6,FALSE),"")</f>
        <v/>
      </c>
      <c r="AQ14" s="11">
        <f>_xlfn.IFNA(VLOOKUP(Table2[[#This Row],[tee time7]],'Turkey Shoot - groups'!$A$3:$F$20,4,FALSE),"")</f>
        <v>0.18055555555555552</v>
      </c>
      <c r="AR14" s="13">
        <f>_xlfn.IFNA(VLOOKUP(Table2[[#This Row],[tee time7]],'Turkey Shoot - groups'!$A$3:$F$20,5,FALSE),"")</f>
        <v>6.9444444444444441E-3</v>
      </c>
      <c r="AS14" s="68" t="str">
        <f>IF(AND(Table2[[#This Row],[gap7]]="NA",Table2[[#This Row],[round7]]&lt;4/24),0,IFERROR((MAX(starting_interval,IF(Table2[[#This Row],[gap7]]="NA",Table2[[#This Row],[avg gap]],Table2[[#This Row],[gap7]]))-starting_interval)*Table2[[#This Row],[followers7]]/Table2[[#This Row],[group size7]],""))</f>
        <v/>
      </c>
      <c r="AT14" s="72">
        <f>COUNT(Table2[[#This Row],[Tee time1]],Table2[[#This Row],[tee time2]],Table2[[#This Row],[tee time3]],Table2[[#This Row],[tee time4]],Table2[[#This Row],[tee time5]],Table2[[#This Row],[tee time6]],Table2[[#This Row],[tee time7]])</f>
        <v>5</v>
      </c>
      <c r="AU14" s="4">
        <f>IFERROR(AVERAGE(Table2[[#This Row],[Tee time1]],Table2[[#This Row],[tee time2]],Table2[[#This Row],[tee time3]],Table2[[#This Row],[tee time4]],Table2[[#This Row],[tee time5]],Table2[[#This Row],[tee time6]],Table2[[#This Row],[tee time7]]),"")</f>
        <v>0.37944444444444442</v>
      </c>
      <c r="AV14" s="11">
        <f>IFERROR(MEDIAN(Table2[[#This Row],[round1]],Table2[[#This Row],[Round2]],Table2[[#This Row],[round3]],Table2[[#This Row],[round4]],Table2[[#This Row],[round5]],Table2[[#This Row],[round6]],Table2[[#This Row],[round7]]),"")</f>
        <v>0.18819444444444444</v>
      </c>
      <c r="AW14" s="11">
        <f>IFERROR(AVERAGE(Table2[[#This Row],[gap1]],Table2[[#This Row],[gap2]],Table2[[#This Row],[gap3]],Table2[[#This Row],[gap4]],Table2[[#This Row],[gap5]],Table2[[#This Row],[gap6]],Table2[[#This Row],[gap7]]),"")</f>
        <v>8.8888888888888681E-3</v>
      </c>
      <c r="AX14" s="9">
        <f>IFERROR((Table2[[#This Row],[avg gap]]-starting_interval)*24*60*Table2[[#This Row],[Count]],"NA")</f>
        <v>13.999999999999853</v>
      </c>
      <c r="AY1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0.13402777777777636</v>
      </c>
      <c r="AZ14" s="2"/>
    </row>
    <row r="15" spans="1:52" x14ac:dyDescent="0.3">
      <c r="A15" s="10" t="s">
        <v>57</v>
      </c>
      <c r="B15" s="1" t="s">
        <v>295</v>
      </c>
      <c r="C15" s="19">
        <v>12.1</v>
      </c>
      <c r="D15" s="32">
        <f>_xlfn.IFNA(VLOOKUP(Table2[[#This Row],[Name]],'Classic day 1 - players'!$A$2:$B$64,2,FALSE),"")</f>
        <v>0.3520833333333333</v>
      </c>
      <c r="E15" s="33">
        <f>IF(Table2[[#This Row],[Tee time1]]&lt;&gt;"",COUNTIF('Classic day 1 - players'!$B$2:$B$64,"="&amp;Table2[[#This Row],[Tee time1]]),"")</f>
        <v>4</v>
      </c>
      <c r="F15" s="33">
        <f>_xlfn.IFNA(VLOOKUP(Table2[[#This Row],[Tee time1]],'Classic day 1 - groups'!$A$3:$F$20,6,FALSE),"")</f>
        <v>56</v>
      </c>
      <c r="G15" s="11">
        <f>_xlfn.IFNA(VLOOKUP(Table2[[#This Row],[Tee time1]],'Classic day 1 - groups'!$A$3:$F$20,4,FALSE),"")</f>
        <v>0.20347222222222222</v>
      </c>
      <c r="H15" s="12">
        <f>_xlfn.IFNA(VLOOKUP(Table2[[#This Row],[Tee time1]],'Classic day 1 - groups'!$A$3:$F$20,5,FALSE),"")</f>
        <v>9.7222222222221877E-3</v>
      </c>
      <c r="I15" s="69">
        <f>IFERROR((MAX(starting_interval,IF(Table2[[#This Row],[gap1]]="NA",Table2[[#This Row],[avg gap]],Table2[[#This Row],[gap1]]))-starting_interval)*Table2[[#This Row],[followers1]]/Table2[[#This Row],[group size]],"")</f>
        <v>3.8888888888888411E-2</v>
      </c>
      <c r="J15" s="32">
        <f>_xlfn.IFNA(VLOOKUP(Table2[[#This Row],[Name]],'Classic day 2 - players'!$A$2:$B$64,2,FALSE),"")</f>
        <v>0.38958333333333334</v>
      </c>
      <c r="K15" s="33">
        <f>IF(Table2[[#This Row],[tee time2]]&lt;&gt;"",COUNTIF('Classic day 2 - players'!$B$2:$B$64,"="&amp;Table2[[#This Row],[tee time2]]),"")</f>
        <v>4</v>
      </c>
      <c r="L15" s="33">
        <f>_xlfn.IFNA(VLOOKUP(Table2[[#This Row],[tee time2]],'Classic day 2 - groups'!$A$3:$F$20,6,FALSE),"")</f>
        <v>16</v>
      </c>
      <c r="M15" s="4">
        <f>_xlfn.IFNA(VLOOKUP(Table2[[#This Row],[tee time2]],'Classic day 2 - groups'!$A$3:$F$20,4,FALSE),"")</f>
        <v>0.18611111111111112</v>
      </c>
      <c r="N15" s="65">
        <f>_xlfn.IFNA(VLOOKUP(Table2[[#This Row],[tee time2]],'Classic day 2 - groups'!$A$3:$F$20,5,FALSE),"")</f>
        <v>4.1666666666666666E-3</v>
      </c>
      <c r="O15" s="69">
        <f>IFERROR((MAX(starting_interval,IF(Table2[[#This Row],[gap2]]="NA",Table2[[#This Row],[avg gap]],Table2[[#This Row],[gap2]]))-starting_interval)*Table2[[#This Row],[followers2]]/Table2[[#This Row],[group size2]],"")</f>
        <v>0</v>
      </c>
      <c r="P15" s="32" t="str">
        <f>_xlfn.IFNA(VLOOKUP(Table2[[#This Row],[Name]],'Summer FD - players'!$A$2:$B$65,2,FALSE),"")</f>
        <v/>
      </c>
      <c r="Q15" s="59" t="str">
        <f>IF(Table2[[#This Row],[tee time3]]&lt;&gt;"",COUNTIF('Summer FD - players'!$B$2:$B$65,"="&amp;Table2[[#This Row],[tee time3]]),"")</f>
        <v/>
      </c>
      <c r="R15" s="59" t="str">
        <f>_xlfn.IFNA(VLOOKUP(Table2[[#This Row],[tee time3]],'Summer FD - groups'!$A$3:$F$20,6,FALSE),"")</f>
        <v/>
      </c>
      <c r="S15" s="4" t="str">
        <f>_xlfn.IFNA(VLOOKUP(Table2[[#This Row],[tee time3]],'Summer FD - groups'!$A$3:$F$20,4,FALSE),"")</f>
        <v/>
      </c>
      <c r="T15" s="13" t="str">
        <f>_xlfn.IFNA(VLOOKUP(Table2[[#This Row],[tee time3]],'Summer FD - groups'!$A$3:$F$20,5,FALSE),"")</f>
        <v/>
      </c>
      <c r="U15" s="69" t="str">
        <f>IF(Table2[[#This Row],[avg gap]]&lt;&gt;"",IFERROR((MAX(starting_interval,IF(Table2[[#This Row],[gap3]]="NA",Table2[[#This Row],[avg gap]],Table2[[#This Row],[gap3]]))-starting_interval)*Table2[[#This Row],[followers3]]/Table2[[#This Row],[group size3]],""),"")</f>
        <v/>
      </c>
      <c r="V15" s="32">
        <f>_xlfn.IFNA(VLOOKUP(Table2[[#This Row],[Name]],'6-6-6 - players'!$A$2:$B$69,2,FALSE),"")</f>
        <v>0.3611111111111111</v>
      </c>
      <c r="W15" s="59">
        <f>IF(Table2[[#This Row],[tee time4]]&lt;&gt;"",COUNTIF('6-6-6 - players'!$B$2:$B$69,"="&amp;Table2[[#This Row],[tee time4]]),"")</f>
        <v>4</v>
      </c>
      <c r="X15" s="59">
        <f>_xlfn.IFNA(VLOOKUP(Table2[[#This Row],[tee time4]],'6-6-6 - groups'!$A$3:$F$20,6,FALSE),"")</f>
        <v>52</v>
      </c>
      <c r="Y15" s="4">
        <f>_xlfn.IFNA(VLOOKUP(Table2[[#This Row],[tee time4]],'6-6-6 - groups'!$A$3:$F$20,4,FALSE),"")</f>
        <v>0.17430555555555555</v>
      </c>
      <c r="Z15" s="13">
        <f>_xlfn.IFNA(VLOOKUP(Table2[[#This Row],[tee time4]],'6-6-6 - groups'!$A$3:$F$20,5,FALSE),"")</f>
        <v>8.3333333333333037E-3</v>
      </c>
      <c r="AA15" s="69">
        <f>IF(Table2[[#This Row],[avg gap]]&lt;&gt;"",IFERROR((MAX(starting_interval,IF(Table2[[#This Row],[gap4]]="NA",Table2[[#This Row],[avg gap]],Table2[[#This Row],[gap4]]))-starting_interval)*Table2[[#This Row],[followers4]]/Table2[[#This Row],[group size4]],""),"")</f>
        <v>1.8055555555555176E-2</v>
      </c>
      <c r="AB15" s="32">
        <f>_xlfn.IFNA(VLOOKUP(Table2[[#This Row],[Name]],'Fall FD - players'!$A$2:$B$65,2,FALSE),"")</f>
        <v>0.3444444444444445</v>
      </c>
      <c r="AC15" s="59">
        <f>IF(Table2[[#This Row],[tee time5]]&lt;&gt;"",COUNTIF('Fall FD - players'!$B$2:$B$65,"="&amp;Table2[[#This Row],[tee time5]]),"")</f>
        <v>3</v>
      </c>
      <c r="AD15" s="59">
        <f>_xlfn.IFNA(VLOOKUP(Table2[[#This Row],[tee time5]],'Fall FD - groups'!$A$3:$F$20,6,FALSE),"")</f>
        <v>64</v>
      </c>
      <c r="AE15" s="4">
        <f>_xlfn.IFNA(VLOOKUP(Table2[[#This Row],[tee time5]],'Fall FD - groups'!$A$3:$F$20,4,FALSE),"")</f>
        <v>0.1701388888888889</v>
      </c>
      <c r="AF15" s="13">
        <f>IFERROR(MIN(_xlfn.IFNA(VLOOKUP(Table2[[#This Row],[tee time5]],'Fall FD - groups'!$A$3:$F$20,5,FALSE),""),starting_interval + Table2[[#This Row],[round5]] - standard_round_time),"")</f>
        <v>1.0416666666666685E-2</v>
      </c>
      <c r="AG15" s="69">
        <f>IF(AND(Table2[[#This Row],[gap5]]="NA",Table2[[#This Row],[round5]]&lt;4/24),0,IFERROR((MAX(starting_interval,IF(Table2[[#This Row],[gap5]]="NA",Table2[[#This Row],[avg gap]],Table2[[#This Row],[gap5]]))-starting_interval)*Table2[[#This Row],[followers5]]/Table2[[#This Row],[group size5]],""))</f>
        <v>7.4074074074074472E-2</v>
      </c>
      <c r="AH15" s="32">
        <f>_xlfn.IFNA(VLOOKUP(Table2[[#This Row],[Name]],'Stableford - players'!$A$2:$B$65,2,FALSE),"")</f>
        <v>0.35416666666666669</v>
      </c>
      <c r="AI15" s="59">
        <f>IF(Table2[[#This Row],[tee time6]]&lt;&gt;"",COUNTIF('Stableford - players'!$B$2:$B$65,"="&amp;Table2[[#This Row],[tee time6]]),"")</f>
        <v>4</v>
      </c>
      <c r="AJ15" s="59">
        <f>_xlfn.IFNA(VLOOKUP(Table2[[#This Row],[tee time6]],'Stableford - groups'!$A$3:$F$20,6,FALSE),"")</f>
        <v>48</v>
      </c>
      <c r="AK15" s="11">
        <f>_xlfn.IFNA(VLOOKUP(Table2[[#This Row],[tee time6]],'Stableford - groups'!$A$3:$F$20,4,FALSE),"")</f>
        <v>0.16666666666666669</v>
      </c>
      <c r="AL15" s="13">
        <f>_xlfn.IFNA(VLOOKUP(Table2[[#This Row],[tee time6]],'Stableford - groups'!$A$3:$F$20,5,FALSE),"")</f>
        <v>3.4722222222223209E-3</v>
      </c>
      <c r="AM15" s="68">
        <f>IF(AND(Table2[[#This Row],[gap6]]="NA",Table2[[#This Row],[round6]]&lt;4/24),0,IFERROR((MAX(starting_interval,IF(Table2[[#This Row],[gap6]]="NA",Table2[[#This Row],[avg gap]],Table2[[#This Row],[gap6]]))-starting_interval)*Table2[[#This Row],[followers6]]/Table2[[#This Row],[group size6]],""))</f>
        <v>0</v>
      </c>
      <c r="AN15" s="32">
        <f>_xlfn.IFNA(VLOOKUP(Table2[[#This Row],[Name]],'Turkey Shoot - players'!$A$2:$B$65,2,FALSE),"")</f>
        <v>0.36805555555555558</v>
      </c>
      <c r="AO15" s="59">
        <f>IF(Table2[[#This Row],[tee time7]]&lt;&gt;"",COUNTIF('Turkey Shoot - players'!$B$2:$B$65,"="&amp;Table2[[#This Row],[tee time7]]),"")</f>
        <v>4</v>
      </c>
      <c r="AP15" s="59">
        <f>_xlfn.IFNA(VLOOKUP(Table2[[#This Row],[tee time7]],'Stableford - groups'!$A$3:$F$20,6,FALSE),"")</f>
        <v>40</v>
      </c>
      <c r="AQ15" s="11">
        <f>_xlfn.IFNA(VLOOKUP(Table2[[#This Row],[tee time7]],'Turkey Shoot - groups'!$A$3:$F$20,4,FALSE),"")</f>
        <v>0.17013888888888884</v>
      </c>
      <c r="AR15" s="13">
        <f>_xlfn.IFNA(VLOOKUP(Table2[[#This Row],[tee time7]],'Turkey Shoot - groups'!$A$3:$F$20,5,FALSE),"")</f>
        <v>6.2499999999999995E-3</v>
      </c>
      <c r="AS15" s="68">
        <f>IF(AND(Table2[[#This Row],[gap7]]="NA",Table2[[#This Row],[round7]]&lt;4/24),0,IFERROR((MAX(starting_interval,IF(Table2[[#This Row],[gap7]]="NA",Table2[[#This Row],[avg gap]],Table2[[#This Row],[gap7]]))-starting_interval)*Table2[[#This Row],[followers7]]/Table2[[#This Row],[group size7]],""))</f>
        <v>0</v>
      </c>
      <c r="AT15" s="72">
        <f>COUNT(Table2[[#This Row],[Tee time1]],Table2[[#This Row],[tee time2]],Table2[[#This Row],[tee time3]],Table2[[#This Row],[tee time4]],Table2[[#This Row],[tee time5]],Table2[[#This Row],[tee time6]],Table2[[#This Row],[tee time7]])</f>
        <v>6</v>
      </c>
      <c r="AU15" s="4">
        <f>IFERROR(AVERAGE(Table2[[#This Row],[Tee time1]],Table2[[#This Row],[tee time2]],Table2[[#This Row],[tee time3]],Table2[[#This Row],[tee time4]],Table2[[#This Row],[tee time5]],Table2[[#This Row],[tee time6]],Table2[[#This Row],[tee time7]]),"")</f>
        <v>0.3615740740740741</v>
      </c>
      <c r="AV15" s="11">
        <f>IFERROR(MEDIAN(Table2[[#This Row],[round1]],Table2[[#This Row],[Round2]],Table2[[#This Row],[round3]],Table2[[#This Row],[round4]],Table2[[#This Row],[round5]],Table2[[#This Row],[round6]],Table2[[#This Row],[round7]]),"")</f>
        <v>0.17222222222222222</v>
      </c>
      <c r="AW15" s="11">
        <f>IFERROR(AVERAGE(Table2[[#This Row],[gap1]],Table2[[#This Row],[gap2]],Table2[[#This Row],[gap3]],Table2[[#This Row],[gap4]],Table2[[#This Row],[gap5]],Table2[[#This Row],[gap6]],Table2[[#This Row],[gap7]]),"")</f>
        <v>7.0601851851851936E-3</v>
      </c>
      <c r="AX15" s="9">
        <f>IFERROR((Table2[[#This Row],[avg gap]]-starting_interval)*24*60*Table2[[#This Row],[Count]],"NA")</f>
        <v>1.0000000000000764</v>
      </c>
      <c r="AY1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0.13101851851851806</v>
      </c>
      <c r="AZ15" s="2"/>
    </row>
    <row r="16" spans="1:52" x14ac:dyDescent="0.3">
      <c r="A16" s="10" t="s">
        <v>141</v>
      </c>
      <c r="B16" s="1" t="s">
        <v>382</v>
      </c>
      <c r="C16" s="19">
        <v>5.8</v>
      </c>
      <c r="D16" s="32">
        <f>_xlfn.IFNA(VLOOKUP(Table2[[#This Row],[Name]],'Classic day 1 - players'!$A$2:$B$64,2,FALSE),"")</f>
        <v>0.38958333333333334</v>
      </c>
      <c r="E16" s="33">
        <f>IF(Table2[[#This Row],[Tee time1]]&lt;&gt;"",COUNTIF('Classic day 1 - players'!$B$2:$B$64,"="&amp;Table2[[#This Row],[Tee time1]]),"")</f>
        <v>3</v>
      </c>
      <c r="F16" s="33">
        <f>_xlfn.IFNA(VLOOKUP(Table2[[#This Row],[Tee time1]],'Classic day 1 - groups'!$A$3:$F$20,6,FALSE),"")</f>
        <v>32</v>
      </c>
      <c r="G16" s="11">
        <f>_xlfn.IFNA(VLOOKUP(Table2[[#This Row],[Tee time1]],'Classic day 1 - groups'!$A$3:$F$20,4,FALSE),"")</f>
        <v>0.20347222222222222</v>
      </c>
      <c r="H16" s="12">
        <f>_xlfn.IFNA(VLOOKUP(Table2[[#This Row],[Tee time1]],'Classic day 1 - groups'!$A$3:$F$20,5,FALSE),"")</f>
        <v>1.1111111111111072E-2</v>
      </c>
      <c r="I16" s="69">
        <f>IFERROR((MAX(starting_interval,IF(Table2[[#This Row],[gap1]]="NA",Table2[[#This Row],[avg gap]],Table2[[#This Row],[gap1]]))-starting_interval)*Table2[[#This Row],[followers1]]/Table2[[#This Row],[group size]],"")</f>
        <v>4.444444444444403E-2</v>
      </c>
      <c r="J16" s="32">
        <f>_xlfn.IFNA(VLOOKUP(Table2[[#This Row],[Name]],'Classic day 2 - players'!$A$2:$B$64,2,FALSE),"")</f>
        <v>0.4145833333333333</v>
      </c>
      <c r="K16" s="33">
        <f>IF(Table2[[#This Row],[tee time2]]&lt;&gt;"",COUNTIF('Classic day 2 - players'!$B$2:$B$64,"="&amp;Table2[[#This Row],[tee time2]]),"")</f>
        <v>4</v>
      </c>
      <c r="L16" s="33">
        <f>_xlfn.IFNA(VLOOKUP(Table2[[#This Row],[tee time2]],'Classic day 2 - groups'!$A$3:$F$20,6,FALSE),"")</f>
        <v>0</v>
      </c>
      <c r="M16" s="4">
        <f>_xlfn.IFNA(VLOOKUP(Table2[[#This Row],[tee time2]],'Classic day 2 - groups'!$A$3:$F$20,4,FALSE),"")</f>
        <v>0.20069444444444443</v>
      </c>
      <c r="N16" s="65">
        <f>_xlfn.IFNA(VLOOKUP(Table2[[#This Row],[tee time2]],'Classic day 2 - groups'!$A$3:$F$20,5,FALSE),"")</f>
        <v>1.5972222222222224E-2</v>
      </c>
      <c r="O16" s="69">
        <f>IFERROR((MAX(starting_interval,IF(Table2[[#This Row],[gap2]]="NA",Table2[[#This Row],[avg gap]],Table2[[#This Row],[gap2]]))-starting_interval)*Table2[[#This Row],[followers2]]/Table2[[#This Row],[group size2]],"")</f>
        <v>0</v>
      </c>
      <c r="P16" s="32">
        <f>_xlfn.IFNA(VLOOKUP(Table2[[#This Row],[Name]],'Summer FD - players'!$A$2:$B$65,2,FALSE),"")</f>
        <v>0.38472222222222219</v>
      </c>
      <c r="Q16" s="59">
        <f>IF(Table2[[#This Row],[tee time3]]&lt;&gt;"",COUNTIF('Summer FD - players'!$B$2:$B$65,"="&amp;Table2[[#This Row],[tee time3]]),"")</f>
        <v>4</v>
      </c>
      <c r="R16" s="59">
        <f>_xlfn.IFNA(VLOOKUP(Table2[[#This Row],[tee time3]],'Summer FD - groups'!$A$3:$F$20,6,FALSE),"")</f>
        <v>32</v>
      </c>
      <c r="S16" s="4">
        <f>_xlfn.IFNA(VLOOKUP(Table2[[#This Row],[tee time3]],'Summer FD - groups'!$A$3:$F$20,4,FALSE),"")</f>
        <v>0.1972222222222223</v>
      </c>
      <c r="T16" s="13">
        <f>_xlfn.IFNA(VLOOKUP(Table2[[#This Row],[tee time3]],'Summer FD - groups'!$A$3:$F$20,5,FALSE),"")</f>
        <v>1.5972222222222276E-2</v>
      </c>
      <c r="U16" s="69">
        <f>IF(Table2[[#This Row],[avg gap]]&lt;&gt;"",IFERROR((MAX(starting_interval,IF(Table2[[#This Row],[gap3]]="NA",Table2[[#This Row],[avg gap]],Table2[[#This Row],[gap3]]))-starting_interval)*Table2[[#This Row],[followers3]]/Table2[[#This Row],[group size3]],""),"")</f>
        <v>7.222222222222266E-2</v>
      </c>
      <c r="V16" s="32" t="str">
        <f>_xlfn.IFNA(VLOOKUP(Table2[[#This Row],[Name]],'6-6-6 - players'!$A$2:$B$69,2,FALSE),"")</f>
        <v/>
      </c>
      <c r="W16" s="59" t="str">
        <f>IF(Table2[[#This Row],[tee time4]]&lt;&gt;"",COUNTIF('6-6-6 - players'!$B$2:$B$69,"="&amp;Table2[[#This Row],[tee time4]]),"")</f>
        <v/>
      </c>
      <c r="X16" s="59" t="str">
        <f>_xlfn.IFNA(VLOOKUP(Table2[[#This Row],[tee time4]],'6-6-6 - groups'!$A$3:$F$20,6,FALSE),"")</f>
        <v/>
      </c>
      <c r="Y16" s="4" t="str">
        <f>_xlfn.IFNA(VLOOKUP(Table2[[#This Row],[tee time4]],'6-6-6 - groups'!$A$3:$F$20,4,FALSE),"")</f>
        <v/>
      </c>
      <c r="Z16" s="13" t="str">
        <f>_xlfn.IFNA(VLOOKUP(Table2[[#This Row],[tee time4]],'6-6-6 - groups'!$A$3:$F$20,5,FALSE),"")</f>
        <v/>
      </c>
      <c r="AA16" s="69" t="str">
        <f>IF(Table2[[#This Row],[avg gap]]&lt;&gt;"",IFERROR((MAX(starting_interval,IF(Table2[[#This Row],[gap4]]="NA",Table2[[#This Row],[avg gap]],Table2[[#This Row],[gap4]]))-starting_interval)*Table2[[#This Row],[followers4]]/Table2[[#This Row],[group size4]],""),"")</f>
        <v/>
      </c>
      <c r="AB16" s="32" t="str">
        <f>_xlfn.IFNA(VLOOKUP(Table2[[#This Row],[Name]],'Fall FD - players'!$A$2:$B$65,2,FALSE),"")</f>
        <v/>
      </c>
      <c r="AC16" s="59" t="str">
        <f>IF(Table2[[#This Row],[tee time5]]&lt;&gt;"",COUNTIF('Fall FD - players'!$B$2:$B$65,"="&amp;Table2[[#This Row],[tee time5]]),"")</f>
        <v/>
      </c>
      <c r="AD16" s="59" t="str">
        <f>_xlfn.IFNA(VLOOKUP(Table2[[#This Row],[tee time5]],'Fall FD - groups'!$A$3:$F$20,6,FALSE),"")</f>
        <v/>
      </c>
      <c r="AE16" s="4" t="str">
        <f>_xlfn.IFNA(VLOOKUP(Table2[[#This Row],[tee time5]],'Fall FD - groups'!$A$3:$F$20,4,FALSE),"")</f>
        <v/>
      </c>
      <c r="AF16" s="13" t="str">
        <f>IFERROR(MIN(_xlfn.IFNA(VLOOKUP(Table2[[#This Row],[tee time5]],'Fall FD - groups'!$A$3:$F$20,5,FALSE),""),starting_interval + Table2[[#This Row],[round5]] - standard_round_time),"")</f>
        <v/>
      </c>
      <c r="AG16" s="69" t="str">
        <f>IF(AND(Table2[[#This Row],[gap5]]="NA",Table2[[#This Row],[round5]]&lt;4/24),0,IFERROR((MAX(starting_interval,IF(Table2[[#This Row],[gap5]]="NA",Table2[[#This Row],[avg gap]],Table2[[#This Row],[gap5]]))-starting_interval)*Table2[[#This Row],[followers5]]/Table2[[#This Row],[group size5]],""))</f>
        <v/>
      </c>
      <c r="AH16" s="32">
        <f>_xlfn.IFNA(VLOOKUP(Table2[[#This Row],[Name]],'Stableford - players'!$A$2:$B$65,2,FALSE),"")</f>
        <v>0.4236111111111111</v>
      </c>
      <c r="AI16" s="59">
        <f>IF(Table2[[#This Row],[tee time6]]&lt;&gt;"",COUNTIF('Stableford - players'!$B$2:$B$65,"="&amp;Table2[[#This Row],[tee time6]]),"")</f>
        <v>4</v>
      </c>
      <c r="AJ16" s="59">
        <f>_xlfn.IFNA(VLOOKUP(Table2[[#This Row],[tee time6]],'Stableford - groups'!$A$3:$F$20,6,FALSE),"")</f>
        <v>8</v>
      </c>
      <c r="AK16" s="11">
        <f>_xlfn.IFNA(VLOOKUP(Table2[[#This Row],[tee time6]],'Stableford - groups'!$A$3:$F$20,4,FALSE),"")</f>
        <v>0.17222222222222222</v>
      </c>
      <c r="AL16" s="13">
        <f>_xlfn.IFNA(VLOOKUP(Table2[[#This Row],[tee time6]],'Stableford - groups'!$A$3:$F$20,5,FALSE),"")</f>
        <v>5.5555555555555358E-3</v>
      </c>
      <c r="AM16" s="68">
        <f>IF(AND(Table2[[#This Row],[gap6]]="NA",Table2[[#This Row],[round6]]&lt;4/24),0,IFERROR((MAX(starting_interval,IF(Table2[[#This Row],[gap6]]="NA",Table2[[#This Row],[avg gap]],Table2[[#This Row],[gap6]]))-starting_interval)*Table2[[#This Row],[followers6]]/Table2[[#This Row],[group size6]],""))</f>
        <v>0</v>
      </c>
      <c r="AN16" s="32">
        <f>_xlfn.IFNA(VLOOKUP(Table2[[#This Row],[Name]],'Turkey Shoot - players'!$A$2:$B$65,2,FALSE),"")</f>
        <v>0.40972222222222227</v>
      </c>
      <c r="AO16" s="59">
        <f>IF(Table2[[#This Row],[tee time7]]&lt;&gt;"",COUNTIF('Turkey Shoot - players'!$B$2:$B$65,"="&amp;Table2[[#This Row],[tee time7]]),"")</f>
        <v>4</v>
      </c>
      <c r="AP16" s="59">
        <f>_xlfn.IFNA(VLOOKUP(Table2[[#This Row],[tee time7]],'Stableford - groups'!$A$3:$F$20,6,FALSE),"")</f>
        <v>16</v>
      </c>
      <c r="AQ16" s="11">
        <f>_xlfn.IFNA(VLOOKUP(Table2[[#This Row],[tee time7]],'Turkey Shoot - groups'!$A$3:$F$20,4,FALSE),"")</f>
        <v>0.17569444444444443</v>
      </c>
      <c r="AR16" s="13">
        <f>_xlfn.IFNA(VLOOKUP(Table2[[#This Row],[tee time7]],'Turkey Shoot - groups'!$A$3:$F$20,5,FALSE),"")</f>
        <v>9.7222222222222224E-3</v>
      </c>
      <c r="AS16" s="68">
        <f>IF(AND(Table2[[#This Row],[gap7]]="NA",Table2[[#This Row],[round7]]&lt;4/24),0,IFERROR((MAX(starting_interval,IF(Table2[[#This Row],[gap7]]="NA",Table2[[#This Row],[avg gap]],Table2[[#This Row],[gap7]]))-starting_interval)*Table2[[#This Row],[followers7]]/Table2[[#This Row],[group size7]],""))</f>
        <v>1.1111111111111113E-2</v>
      </c>
      <c r="AT16" s="72">
        <f>COUNT(Table2[[#This Row],[Tee time1]],Table2[[#This Row],[tee time2]],Table2[[#This Row],[tee time3]],Table2[[#This Row],[tee time4]],Table2[[#This Row],[tee time5]],Table2[[#This Row],[tee time6]],Table2[[#This Row],[tee time7]])</f>
        <v>5</v>
      </c>
      <c r="AU16" s="4">
        <f>IFERROR(AVERAGE(Table2[[#This Row],[Tee time1]],Table2[[#This Row],[tee time2]],Table2[[#This Row],[tee time3]],Table2[[#This Row],[tee time4]],Table2[[#This Row],[tee time5]],Table2[[#This Row],[tee time6]],Table2[[#This Row],[tee time7]]),"")</f>
        <v>0.40444444444444444</v>
      </c>
      <c r="AV16" s="12">
        <f>IFERROR(MEDIAN(Table2[[#This Row],[round1]],Table2[[#This Row],[Round2]],Table2[[#This Row],[round3]],Table2[[#This Row],[round4]],Table2[[#This Row],[round5]],Table2[[#This Row],[round6]],Table2[[#This Row],[round7]]),"")</f>
        <v>0.1972222222222223</v>
      </c>
      <c r="AW16" s="11">
        <f>IFERROR(AVERAGE(Table2[[#This Row],[gap1]],Table2[[#This Row],[gap2]],Table2[[#This Row],[gap3]],Table2[[#This Row],[gap4]],Table2[[#This Row],[gap5]],Table2[[#This Row],[gap6]],Table2[[#This Row],[gap7]]),"")</f>
        <v>1.1666666666666665E-2</v>
      </c>
      <c r="AX16" s="9">
        <f>IFERROR((Table2[[#This Row],[avg gap]]-starting_interval)*24*60*Table2[[#This Row],[Count]],"NA")</f>
        <v>33.999999999999993</v>
      </c>
      <c r="AY1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0.12777777777777782</v>
      </c>
      <c r="AZ16" s="2" t="s">
        <v>487</v>
      </c>
    </row>
    <row r="17" spans="1:52" x14ac:dyDescent="0.3">
      <c r="A17" s="10" t="s">
        <v>73</v>
      </c>
      <c r="B17" s="1" t="s">
        <v>312</v>
      </c>
      <c r="C17" s="19">
        <v>4.0999999999999996</v>
      </c>
      <c r="D17" s="32">
        <f>_xlfn.IFNA(VLOOKUP(Table2[[#This Row],[Name]],'Classic day 1 - players'!$A$2:$B$64,2,FALSE),"")</f>
        <v>0.33958333333333335</v>
      </c>
      <c r="E17" s="33">
        <f>IF(Table2[[#This Row],[Tee time1]]&lt;&gt;"",COUNTIF('Classic day 1 - players'!$B$2:$B$64,"="&amp;Table2[[#This Row],[Tee time1]]),"")</f>
        <v>4</v>
      </c>
      <c r="F17" s="33">
        <f>_xlfn.IFNA(VLOOKUP(Table2[[#This Row],[Tee time1]],'Classic day 1 - groups'!$A$3:$F$20,6,FALSE),"")</f>
        <v>64</v>
      </c>
      <c r="G17" s="11">
        <f>_xlfn.IFNA(VLOOKUP(Table2[[#This Row],[Tee time1]],'Classic day 1 - groups'!$A$3:$F$20,4,FALSE),"")</f>
        <v>0.19930555555555551</v>
      </c>
      <c r="H17" s="12">
        <f>_xlfn.IFNA(VLOOKUP(Table2[[#This Row],[Tee time1]],'Classic day 1 - groups'!$A$3:$F$20,5,FALSE),"")</f>
        <v>1.1111111111111072E-2</v>
      </c>
      <c r="I17" s="69">
        <f>IFERROR((MAX(starting_interval,IF(Table2[[#This Row],[gap1]]="NA",Table2[[#This Row],[avg gap]],Table2[[#This Row],[gap1]]))-starting_interval)*Table2[[#This Row],[followers1]]/Table2[[#This Row],[group size]],"")</f>
        <v>6.6666666666666041E-2</v>
      </c>
      <c r="J17" s="32">
        <f>_xlfn.IFNA(VLOOKUP(Table2[[#This Row],[Name]],'Classic day 2 - players'!$A$2:$B$64,2,FALSE),"")</f>
        <v>0.4145833333333333</v>
      </c>
      <c r="K17" s="33">
        <f>IF(Table2[[#This Row],[tee time2]]&lt;&gt;"",COUNTIF('Classic day 2 - players'!$B$2:$B$64,"="&amp;Table2[[#This Row],[tee time2]]),"")</f>
        <v>4</v>
      </c>
      <c r="L17" s="33">
        <f>_xlfn.IFNA(VLOOKUP(Table2[[#This Row],[tee time2]],'Classic day 2 - groups'!$A$3:$F$20,6,FALSE),"")</f>
        <v>0</v>
      </c>
      <c r="M17" s="4">
        <f>_xlfn.IFNA(VLOOKUP(Table2[[#This Row],[tee time2]],'Classic day 2 - groups'!$A$3:$F$20,4,FALSE),"")</f>
        <v>0.20069444444444443</v>
      </c>
      <c r="N17" s="65">
        <f>_xlfn.IFNA(VLOOKUP(Table2[[#This Row],[tee time2]],'Classic day 2 - groups'!$A$3:$F$20,5,FALSE),"")</f>
        <v>1.5972222222222224E-2</v>
      </c>
      <c r="O17" s="69">
        <f>IFERROR((MAX(starting_interval,IF(Table2[[#This Row],[gap2]]="NA",Table2[[#This Row],[avg gap]],Table2[[#This Row],[gap2]]))-starting_interval)*Table2[[#This Row],[followers2]]/Table2[[#This Row],[group size2]],"")</f>
        <v>0</v>
      </c>
      <c r="P17" s="32" t="str">
        <f>_xlfn.IFNA(VLOOKUP(Table2[[#This Row],[Name]],'Summer FD - players'!$A$2:$B$65,2,FALSE),"")</f>
        <v/>
      </c>
      <c r="Q17" s="59" t="str">
        <f>IF(Table2[[#This Row],[tee time3]]&lt;&gt;"",COUNTIF('Summer FD - players'!$B$2:$B$65,"="&amp;Table2[[#This Row],[tee time3]]),"")</f>
        <v/>
      </c>
      <c r="R17" s="59" t="str">
        <f>_xlfn.IFNA(VLOOKUP(Table2[[#This Row],[tee time3]],'Summer FD - groups'!$A$3:$F$20,6,FALSE),"")</f>
        <v/>
      </c>
      <c r="S17" s="4" t="str">
        <f>_xlfn.IFNA(VLOOKUP(Table2[[#This Row],[tee time3]],'Summer FD - groups'!$A$3:$F$20,4,FALSE),"")</f>
        <v/>
      </c>
      <c r="T17" s="13" t="str">
        <f>_xlfn.IFNA(VLOOKUP(Table2[[#This Row],[tee time3]],'Summer FD - groups'!$A$3:$F$20,5,FALSE),"")</f>
        <v/>
      </c>
      <c r="U17" s="69" t="str">
        <f>IF(Table2[[#This Row],[avg gap]]&lt;&gt;"",IFERROR((MAX(starting_interval,IF(Table2[[#This Row],[gap3]]="NA",Table2[[#This Row],[avg gap]],Table2[[#This Row],[gap3]]))-starting_interval)*Table2[[#This Row],[followers3]]/Table2[[#This Row],[group size3]],""),"")</f>
        <v/>
      </c>
      <c r="V17" s="32" t="str">
        <f>_xlfn.IFNA(VLOOKUP(Table2[[#This Row],[Name]],'6-6-6 - players'!$A$2:$B$69,2,FALSE),"")</f>
        <v/>
      </c>
      <c r="W17" s="59" t="str">
        <f>IF(Table2[[#This Row],[tee time4]]&lt;&gt;"",COUNTIF('6-6-6 - players'!$B$2:$B$69,"="&amp;Table2[[#This Row],[tee time4]]),"")</f>
        <v/>
      </c>
      <c r="X17" s="59" t="str">
        <f>_xlfn.IFNA(VLOOKUP(Table2[[#This Row],[tee time4]],'6-6-6 - groups'!$A$3:$F$20,6,FALSE),"")</f>
        <v/>
      </c>
      <c r="Y17" s="4" t="str">
        <f>_xlfn.IFNA(VLOOKUP(Table2[[#This Row],[tee time4]],'6-6-6 - groups'!$A$3:$F$20,4,FALSE),"")</f>
        <v/>
      </c>
      <c r="Z17" s="13" t="str">
        <f>_xlfn.IFNA(VLOOKUP(Table2[[#This Row],[tee time4]],'6-6-6 - groups'!$A$3:$F$20,5,FALSE),"")</f>
        <v/>
      </c>
      <c r="AA17" s="69" t="str">
        <f>IF(Table2[[#This Row],[avg gap]]&lt;&gt;"",IFERROR((MAX(starting_interval,IF(Table2[[#This Row],[gap4]]="NA",Table2[[#This Row],[avg gap]],Table2[[#This Row],[gap4]]))-starting_interval)*Table2[[#This Row],[followers4]]/Table2[[#This Row],[group size4]],""),"")</f>
        <v/>
      </c>
      <c r="AB17" s="32" t="str">
        <f>_xlfn.IFNA(VLOOKUP(Table2[[#This Row],[Name]],'Fall FD - players'!$A$2:$B$65,2,FALSE),"")</f>
        <v/>
      </c>
      <c r="AC17" s="59" t="str">
        <f>IF(Table2[[#This Row],[tee time5]]&lt;&gt;"",COUNTIF('Fall FD - players'!$B$2:$B$65,"="&amp;Table2[[#This Row],[tee time5]]),"")</f>
        <v/>
      </c>
      <c r="AD17" s="59" t="str">
        <f>_xlfn.IFNA(VLOOKUP(Table2[[#This Row],[tee time5]],'Fall FD - groups'!$A$3:$F$20,6,FALSE),"")</f>
        <v/>
      </c>
      <c r="AE17" s="4" t="str">
        <f>_xlfn.IFNA(VLOOKUP(Table2[[#This Row],[tee time5]],'Fall FD - groups'!$A$3:$F$20,4,FALSE),"")</f>
        <v/>
      </c>
      <c r="AF17" s="13" t="str">
        <f>IFERROR(MIN(_xlfn.IFNA(VLOOKUP(Table2[[#This Row],[tee time5]],'Fall FD - groups'!$A$3:$F$20,5,FALSE),""),starting_interval + Table2[[#This Row],[round5]] - standard_round_time),"")</f>
        <v/>
      </c>
      <c r="AG17" s="69" t="str">
        <f>IF(AND(Table2[[#This Row],[gap5]]="NA",Table2[[#This Row],[round5]]&lt;4/24),0,IFERROR((MAX(starting_interval,IF(Table2[[#This Row],[gap5]]="NA",Table2[[#This Row],[avg gap]],Table2[[#This Row],[gap5]]))-starting_interval)*Table2[[#This Row],[followers5]]/Table2[[#This Row],[group size5]],""))</f>
        <v/>
      </c>
      <c r="AH17" s="32">
        <f>_xlfn.IFNA(VLOOKUP(Table2[[#This Row],[Name]],'Stableford - players'!$A$2:$B$65,2,FALSE),"")</f>
        <v>0.36805555555555558</v>
      </c>
      <c r="AI17" s="59">
        <f>IF(Table2[[#This Row],[tee time6]]&lt;&gt;"",COUNTIF('Stableford - players'!$B$2:$B$65,"="&amp;Table2[[#This Row],[tee time6]]),"")</f>
        <v>3</v>
      </c>
      <c r="AJ17" s="59">
        <f>_xlfn.IFNA(VLOOKUP(Table2[[#This Row],[tee time6]],'Stableford - groups'!$A$3:$F$20,6,FALSE),"")</f>
        <v>40</v>
      </c>
      <c r="AK17" s="11">
        <f>_xlfn.IFNA(VLOOKUP(Table2[[#This Row],[tee time6]],'Stableford - groups'!$A$3:$F$20,4,FALSE),"")</f>
        <v>0.16666666666666669</v>
      </c>
      <c r="AL17" s="13">
        <f>_xlfn.IFNA(VLOOKUP(Table2[[#This Row],[tee time6]],'Stableford - groups'!$A$3:$F$20,5,FALSE),"")</f>
        <v>9.7222222222221877E-3</v>
      </c>
      <c r="AM17" s="68">
        <f>IF(AND(Table2[[#This Row],[gap6]]="NA",Table2[[#This Row],[round6]]&lt;4/24),0,IFERROR((MAX(starting_interval,IF(Table2[[#This Row],[gap6]]="NA",Table2[[#This Row],[avg gap]],Table2[[#This Row],[gap6]]))-starting_interval)*Table2[[#This Row],[followers6]]/Table2[[#This Row],[group size6]],""))</f>
        <v>3.7037037037036584E-2</v>
      </c>
      <c r="AN17" s="32">
        <f>_xlfn.IFNA(VLOOKUP(Table2[[#This Row],[Name]],'Turkey Shoot - players'!$A$2:$B$65,2,FALSE),"")</f>
        <v>0.41666666666666669</v>
      </c>
      <c r="AO17" s="59">
        <f>IF(Table2[[#This Row],[tee time7]]&lt;&gt;"",COUNTIF('Turkey Shoot - players'!$B$2:$B$65,"="&amp;Table2[[#This Row],[tee time7]]),"")</f>
        <v>4</v>
      </c>
      <c r="AP17" s="59">
        <f>_xlfn.IFNA(VLOOKUP(Table2[[#This Row],[tee time7]],'Stableford - groups'!$A$3:$F$20,6,FALSE),"")</f>
        <v>12</v>
      </c>
      <c r="AQ17" s="11">
        <f>_xlfn.IFNA(VLOOKUP(Table2[[#This Row],[tee time7]],'Turkey Shoot - groups'!$A$3:$F$20,4,FALSE),"")</f>
        <v>0.18055555555555558</v>
      </c>
      <c r="AR17" s="13">
        <f>_xlfn.IFNA(VLOOKUP(Table2[[#This Row],[tee time7]],'Turkey Shoot - groups'!$A$3:$F$20,5,FALSE),"")</f>
        <v>1.2499999999999999E-2</v>
      </c>
      <c r="AS17" s="68">
        <f>IF(AND(Table2[[#This Row],[gap7]]="NA",Table2[[#This Row],[round7]]&lt;4/24),0,IFERROR((MAX(starting_interval,IF(Table2[[#This Row],[gap7]]="NA",Table2[[#This Row],[avg gap]],Table2[[#This Row],[gap7]]))-starting_interval)*Table2[[#This Row],[followers7]]/Table2[[#This Row],[group size7]],""))</f>
        <v>1.6666666666666663E-2</v>
      </c>
      <c r="AT17" s="72">
        <f>COUNT(Table2[[#This Row],[Tee time1]],Table2[[#This Row],[tee time2]],Table2[[#This Row],[tee time3]],Table2[[#This Row],[tee time4]],Table2[[#This Row],[tee time5]],Table2[[#This Row],[tee time6]],Table2[[#This Row],[tee time7]])</f>
        <v>4</v>
      </c>
      <c r="AU17" s="4">
        <f>IFERROR(AVERAGE(Table2[[#This Row],[Tee time1]],Table2[[#This Row],[tee time2]],Table2[[#This Row],[tee time3]],Table2[[#This Row],[tee time4]],Table2[[#This Row],[tee time5]],Table2[[#This Row],[tee time6]],Table2[[#This Row],[tee time7]]),"")</f>
        <v>0.38472222222222224</v>
      </c>
      <c r="AV17" s="12">
        <f>IFERROR(MEDIAN(Table2[[#This Row],[round1]],Table2[[#This Row],[Round2]],Table2[[#This Row],[round3]],Table2[[#This Row],[round4]],Table2[[#This Row],[round5]],Table2[[#This Row],[round6]],Table2[[#This Row],[round7]]),"")</f>
        <v>0.18993055555555555</v>
      </c>
      <c r="AW17" s="11">
        <f>IFERROR(AVERAGE(Table2[[#This Row],[gap1]],Table2[[#This Row],[gap2]],Table2[[#This Row],[gap3]],Table2[[#This Row],[gap4]],Table2[[#This Row],[gap5]],Table2[[#This Row],[gap6]],Table2[[#This Row],[gap7]]),"")</f>
        <v>1.2326388888888869E-2</v>
      </c>
      <c r="AX17" s="9">
        <f>IFERROR((Table2[[#This Row],[avg gap]]-starting_interval)*24*60*Table2[[#This Row],[Count]],"NA")</f>
        <v>30.99999999999989</v>
      </c>
      <c r="AY1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0.1203703703703693</v>
      </c>
      <c r="AZ17" s="2"/>
    </row>
    <row r="18" spans="1:52" x14ac:dyDescent="0.3">
      <c r="A18" s="10" t="s">
        <v>56</v>
      </c>
      <c r="B18" s="1" t="s">
        <v>294</v>
      </c>
      <c r="C18" s="19">
        <v>7.4</v>
      </c>
      <c r="D18" s="32">
        <f>_xlfn.IFNA(VLOOKUP(Table2[[#This Row],[Name]],'Classic day 1 - players'!$A$2:$B$64,2,FALSE),"")</f>
        <v>0.38958333333333334</v>
      </c>
      <c r="E18" s="33">
        <f>IF(Table2[[#This Row],[Tee time1]]&lt;&gt;"",COUNTIF('Classic day 1 - players'!$B$2:$B$64,"="&amp;Table2[[#This Row],[Tee time1]]),"")</f>
        <v>3</v>
      </c>
      <c r="F18" s="33">
        <f>_xlfn.IFNA(VLOOKUP(Table2[[#This Row],[Tee time1]],'Classic day 1 - groups'!$A$3:$F$20,6,FALSE),"")</f>
        <v>32</v>
      </c>
      <c r="G18" s="11">
        <f>_xlfn.IFNA(VLOOKUP(Table2[[#This Row],[Tee time1]],'Classic day 1 - groups'!$A$3:$F$20,4,FALSE),"")</f>
        <v>0.20347222222222222</v>
      </c>
      <c r="H18" s="12">
        <f>_xlfn.IFNA(VLOOKUP(Table2[[#This Row],[Tee time1]],'Classic day 1 - groups'!$A$3:$F$20,5,FALSE),"")</f>
        <v>1.1111111111111072E-2</v>
      </c>
      <c r="I18" s="69">
        <f>IFERROR((MAX(starting_interval,IF(Table2[[#This Row],[gap1]]="NA",Table2[[#This Row],[avg gap]],Table2[[#This Row],[gap1]]))-starting_interval)*Table2[[#This Row],[followers1]]/Table2[[#This Row],[group size]],"")</f>
        <v>4.444444444444403E-2</v>
      </c>
      <c r="J18" s="32">
        <f>_xlfn.IFNA(VLOOKUP(Table2[[#This Row],[Name]],'Classic day 2 - players'!$A$2:$B$64,2,FALSE),"")</f>
        <v>0.4145833333333333</v>
      </c>
      <c r="K18" s="33">
        <f>IF(Table2[[#This Row],[tee time2]]&lt;&gt;"",COUNTIF('Classic day 2 - players'!$B$2:$B$64,"="&amp;Table2[[#This Row],[tee time2]]),"")</f>
        <v>4</v>
      </c>
      <c r="L18" s="33">
        <f>_xlfn.IFNA(VLOOKUP(Table2[[#This Row],[tee time2]],'Classic day 2 - groups'!$A$3:$F$20,6,FALSE),"")</f>
        <v>0</v>
      </c>
      <c r="M18" s="4">
        <f>_xlfn.IFNA(VLOOKUP(Table2[[#This Row],[tee time2]],'Classic day 2 - groups'!$A$3:$F$20,4,FALSE),"")</f>
        <v>0.20069444444444443</v>
      </c>
      <c r="N18" s="65">
        <f>_xlfn.IFNA(VLOOKUP(Table2[[#This Row],[tee time2]],'Classic day 2 - groups'!$A$3:$F$20,5,FALSE),"")</f>
        <v>1.5972222222222224E-2</v>
      </c>
      <c r="O18" s="69">
        <f>IFERROR((MAX(starting_interval,IF(Table2[[#This Row],[gap2]]="NA",Table2[[#This Row],[avg gap]],Table2[[#This Row],[gap2]]))-starting_interval)*Table2[[#This Row],[followers2]]/Table2[[#This Row],[group size2]],"")</f>
        <v>0</v>
      </c>
      <c r="P18" s="32">
        <f>_xlfn.IFNA(VLOOKUP(Table2[[#This Row],[Name]],'Summer FD - players'!$A$2:$B$65,2,FALSE),"")</f>
        <v>0.38472222222222219</v>
      </c>
      <c r="Q18" s="59">
        <f>IF(Table2[[#This Row],[tee time3]]&lt;&gt;"",COUNTIF('Summer FD - players'!$B$2:$B$65,"="&amp;Table2[[#This Row],[tee time3]]),"")</f>
        <v>4</v>
      </c>
      <c r="R18" s="59">
        <f>_xlfn.IFNA(VLOOKUP(Table2[[#This Row],[tee time3]],'Summer FD - groups'!$A$3:$F$20,6,FALSE),"")</f>
        <v>32</v>
      </c>
      <c r="S18" s="4">
        <f>_xlfn.IFNA(VLOOKUP(Table2[[#This Row],[tee time3]],'Summer FD - groups'!$A$3:$F$20,4,FALSE),"")</f>
        <v>0.1972222222222223</v>
      </c>
      <c r="T18" s="13">
        <f>_xlfn.IFNA(VLOOKUP(Table2[[#This Row],[tee time3]],'Summer FD - groups'!$A$3:$F$20,5,FALSE),"")</f>
        <v>1.5972222222222276E-2</v>
      </c>
      <c r="U18" s="69">
        <f>IF(Table2[[#This Row],[avg gap]]&lt;&gt;"",IFERROR((MAX(starting_interval,IF(Table2[[#This Row],[gap3]]="NA",Table2[[#This Row],[avg gap]],Table2[[#This Row],[gap3]]))-starting_interval)*Table2[[#This Row],[followers3]]/Table2[[#This Row],[group size3]],""),"")</f>
        <v>7.222222222222266E-2</v>
      </c>
      <c r="V18" s="32" t="str">
        <f>_xlfn.IFNA(VLOOKUP(Table2[[#This Row],[Name]],'6-6-6 - players'!$A$2:$B$69,2,FALSE),"")</f>
        <v/>
      </c>
      <c r="W18" s="59" t="str">
        <f>IF(Table2[[#This Row],[tee time4]]&lt;&gt;"",COUNTIF('6-6-6 - players'!$B$2:$B$69,"="&amp;Table2[[#This Row],[tee time4]]),"")</f>
        <v/>
      </c>
      <c r="X18" s="59" t="str">
        <f>_xlfn.IFNA(VLOOKUP(Table2[[#This Row],[tee time4]],'6-6-6 - groups'!$A$3:$F$20,6,FALSE),"")</f>
        <v/>
      </c>
      <c r="Y18" s="4" t="str">
        <f>_xlfn.IFNA(VLOOKUP(Table2[[#This Row],[tee time4]],'6-6-6 - groups'!$A$3:$F$20,4,FALSE),"")</f>
        <v/>
      </c>
      <c r="Z18" s="13" t="str">
        <f>_xlfn.IFNA(VLOOKUP(Table2[[#This Row],[tee time4]],'6-6-6 - groups'!$A$3:$F$20,5,FALSE),"")</f>
        <v/>
      </c>
      <c r="AA18" s="69" t="str">
        <f>IF(Table2[[#This Row],[avg gap]]&lt;&gt;"",IFERROR((MAX(starting_interval,IF(Table2[[#This Row],[gap4]]="NA",Table2[[#This Row],[avg gap]],Table2[[#This Row],[gap4]]))-starting_interval)*Table2[[#This Row],[followers4]]/Table2[[#This Row],[group size4]],""),"")</f>
        <v/>
      </c>
      <c r="AB18" s="32" t="str">
        <f>_xlfn.IFNA(VLOOKUP(Table2[[#This Row],[Name]],'Fall FD - players'!$A$2:$B$65,2,FALSE),"")</f>
        <v/>
      </c>
      <c r="AC18" s="59" t="str">
        <f>IF(Table2[[#This Row],[tee time5]]&lt;&gt;"",COUNTIF('Fall FD - players'!$B$2:$B$65,"="&amp;Table2[[#This Row],[tee time5]]),"")</f>
        <v/>
      </c>
      <c r="AD18" s="59" t="str">
        <f>_xlfn.IFNA(VLOOKUP(Table2[[#This Row],[tee time5]],'Fall FD - groups'!$A$3:$F$20,6,FALSE),"")</f>
        <v/>
      </c>
      <c r="AE18" s="4" t="str">
        <f>_xlfn.IFNA(VLOOKUP(Table2[[#This Row],[tee time5]],'Fall FD - groups'!$A$3:$F$20,4,FALSE),"")</f>
        <v/>
      </c>
      <c r="AF18" s="13" t="str">
        <f>IFERROR(MIN(_xlfn.IFNA(VLOOKUP(Table2[[#This Row],[tee time5]],'Fall FD - groups'!$A$3:$F$20,5,FALSE),""),starting_interval + Table2[[#This Row],[round5]] - standard_round_time),"")</f>
        <v/>
      </c>
      <c r="AG18" s="69" t="str">
        <f>IF(AND(Table2[[#This Row],[gap5]]="NA",Table2[[#This Row],[round5]]&lt;4/24),0,IFERROR((MAX(starting_interval,IF(Table2[[#This Row],[gap5]]="NA",Table2[[#This Row],[avg gap]],Table2[[#This Row],[gap5]]))-starting_interval)*Table2[[#This Row],[followers5]]/Table2[[#This Row],[group size5]],""))</f>
        <v/>
      </c>
      <c r="AH18" s="32">
        <f>_xlfn.IFNA(VLOOKUP(Table2[[#This Row],[Name]],'Stableford - players'!$A$2:$B$65,2,FALSE),"")</f>
        <v>0.3888888888888889</v>
      </c>
      <c r="AI18" s="59">
        <f>IF(Table2[[#This Row],[tee time6]]&lt;&gt;"",COUNTIF('Stableford - players'!$B$2:$B$65,"="&amp;Table2[[#This Row],[tee time6]]),"")</f>
        <v>4</v>
      </c>
      <c r="AJ18" s="59">
        <f>_xlfn.IFNA(VLOOKUP(Table2[[#This Row],[tee time6]],'Stableford - groups'!$A$3:$F$20,6,FALSE),"")</f>
        <v>28</v>
      </c>
      <c r="AK18" s="11">
        <f>_xlfn.IFNA(VLOOKUP(Table2[[#This Row],[tee time6]],'Stableford - groups'!$A$3:$F$20,4,FALSE),"")</f>
        <v>0.17222222222222222</v>
      </c>
      <c r="AL18" s="13">
        <f>_xlfn.IFNA(VLOOKUP(Table2[[#This Row],[tee time6]],'Stableford - groups'!$A$3:$F$20,5,FALSE),"")</f>
        <v>6.2499999999999778E-3</v>
      </c>
      <c r="AM18" s="68">
        <f>IF(AND(Table2[[#This Row],[gap6]]="NA",Table2[[#This Row],[round6]]&lt;4/24),0,IFERROR((MAX(starting_interval,IF(Table2[[#This Row],[gap6]]="NA",Table2[[#This Row],[avg gap]],Table2[[#This Row],[gap6]]))-starting_interval)*Table2[[#This Row],[followers6]]/Table2[[#This Row],[group size6]],""))</f>
        <v>0</v>
      </c>
      <c r="AN18" s="32" t="str">
        <f>_xlfn.IFNA(VLOOKUP(Table2[[#This Row],[Name]],'Turkey Shoot - players'!$A$2:$B$65,2,FALSE),"")</f>
        <v/>
      </c>
      <c r="AO18" s="59" t="str">
        <f>IF(Table2[[#This Row],[tee time7]]&lt;&gt;"",COUNTIF('Turkey Shoot - players'!$B$2:$B$65,"="&amp;Table2[[#This Row],[tee time7]]),"")</f>
        <v/>
      </c>
      <c r="AP18" s="59" t="str">
        <f>_xlfn.IFNA(VLOOKUP(Table2[[#This Row],[tee time7]],'Stableford - groups'!$A$3:$F$20,6,FALSE),"")</f>
        <v/>
      </c>
      <c r="AQ18" s="11" t="str">
        <f>_xlfn.IFNA(VLOOKUP(Table2[[#This Row],[tee time7]],'Turkey Shoot - groups'!$A$3:$F$20,4,FALSE),"")</f>
        <v/>
      </c>
      <c r="AR18" s="13" t="str">
        <f>_xlfn.IFNA(VLOOKUP(Table2[[#This Row],[tee time7]],'Turkey Shoot - groups'!$A$3:$F$20,5,FALSE),"")</f>
        <v/>
      </c>
      <c r="AS18" s="68" t="str">
        <f>IF(AND(Table2[[#This Row],[gap7]]="NA",Table2[[#This Row],[round7]]&lt;4/24),0,IFERROR((MAX(starting_interval,IF(Table2[[#This Row],[gap7]]="NA",Table2[[#This Row],[avg gap]],Table2[[#This Row],[gap7]]))-starting_interval)*Table2[[#This Row],[followers7]]/Table2[[#This Row],[group size7]],""))</f>
        <v/>
      </c>
      <c r="AT18" s="72">
        <f>COUNT(Table2[[#This Row],[Tee time1]],Table2[[#This Row],[tee time2]],Table2[[#This Row],[tee time3]],Table2[[#This Row],[tee time4]],Table2[[#This Row],[tee time5]],Table2[[#This Row],[tee time6]],Table2[[#This Row],[tee time7]])</f>
        <v>4</v>
      </c>
      <c r="AU18" s="4">
        <f>IFERROR(AVERAGE(Table2[[#This Row],[Tee time1]],Table2[[#This Row],[tee time2]],Table2[[#This Row],[tee time3]],Table2[[#This Row],[tee time4]],Table2[[#This Row],[tee time5]],Table2[[#This Row],[tee time6]],Table2[[#This Row],[tee time7]]),"")</f>
        <v>0.39444444444444443</v>
      </c>
      <c r="AV18" s="12">
        <f>IFERROR(MEDIAN(Table2[[#This Row],[round1]],Table2[[#This Row],[Round2]],Table2[[#This Row],[round3]],Table2[[#This Row],[round4]],Table2[[#This Row],[round5]],Table2[[#This Row],[round6]],Table2[[#This Row],[round7]]),"")</f>
        <v>0.19895833333333335</v>
      </c>
      <c r="AW18" s="11">
        <f>IFERROR(AVERAGE(Table2[[#This Row],[gap1]],Table2[[#This Row],[gap2]],Table2[[#This Row],[gap3]],Table2[[#This Row],[gap4]],Table2[[#This Row],[gap5]],Table2[[#This Row],[gap6]],Table2[[#This Row],[gap7]]),"")</f>
        <v>1.2326388888888887E-2</v>
      </c>
      <c r="AX18" s="9">
        <f>IFERROR((Table2[[#This Row],[avg gap]]-starting_interval)*24*60*Table2[[#This Row],[Count]],"NA")</f>
        <v>30.999999999999989</v>
      </c>
      <c r="AY1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0.1166666666666667</v>
      </c>
      <c r="AZ18" s="2" t="s">
        <v>487</v>
      </c>
    </row>
    <row r="19" spans="1:52" x14ac:dyDescent="0.3">
      <c r="A19" s="10" t="s">
        <v>55</v>
      </c>
      <c r="B19" s="1" t="s">
        <v>293</v>
      </c>
      <c r="C19" s="19">
        <v>13.1</v>
      </c>
      <c r="D19" s="32" t="str">
        <f>_xlfn.IFNA(VLOOKUP(Table2[[#This Row],[Name]],'Classic day 1 - players'!$A$2:$B$64,2,FALSE),"")</f>
        <v/>
      </c>
      <c r="E19" s="33" t="str">
        <f>IF(Table2[[#This Row],[Tee time1]]&lt;&gt;"",COUNTIF('Classic day 1 - players'!$B$2:$B$64,"="&amp;Table2[[#This Row],[Tee time1]]),"")</f>
        <v/>
      </c>
      <c r="F19" s="33" t="str">
        <f>_xlfn.IFNA(VLOOKUP(Table2[[#This Row],[Tee time1]],'Classic day 1 - groups'!$A$3:$F$20,6,FALSE),"")</f>
        <v/>
      </c>
      <c r="G19" s="11" t="str">
        <f>_xlfn.IFNA(VLOOKUP(Table2[[#This Row],[Tee time1]],'Classic day 1 - groups'!$A$3:$F$20,4,FALSE),"")</f>
        <v/>
      </c>
      <c r="H19" s="12" t="str">
        <f>_xlfn.IFNA(VLOOKUP(Table2[[#This Row],[Tee time1]],'Classic day 1 - groups'!$A$3:$F$20,5,FALSE),"")</f>
        <v/>
      </c>
      <c r="I19" s="69" t="str">
        <f>IFERROR((MAX(starting_interval,IF(Table2[[#This Row],[gap1]]="NA",Table2[[#This Row],[avg gap]],Table2[[#This Row],[gap1]]))-starting_interval)*Table2[[#This Row],[followers1]]/Table2[[#This Row],[group size]],"")</f>
        <v/>
      </c>
      <c r="J19" s="32" t="str">
        <f>_xlfn.IFNA(VLOOKUP(Table2[[#This Row],[Name]],'Classic day 2 - players'!$A$2:$B$64,2,FALSE),"")</f>
        <v/>
      </c>
      <c r="K19" s="33" t="str">
        <f>IF(Table2[[#This Row],[tee time2]]&lt;&gt;"",COUNTIF('Classic day 2 - players'!$B$2:$B$64,"="&amp;Table2[[#This Row],[tee time2]]),"")</f>
        <v/>
      </c>
      <c r="L19" s="33" t="str">
        <f>_xlfn.IFNA(VLOOKUP(Table2[[#This Row],[tee time2]],'Classic day 2 - groups'!$A$3:$F$20,6,FALSE),"")</f>
        <v/>
      </c>
      <c r="M19" s="4" t="str">
        <f>_xlfn.IFNA(VLOOKUP(Table2[[#This Row],[tee time2]],'Classic day 2 - groups'!$A$3:$F$20,4,FALSE),"")</f>
        <v/>
      </c>
      <c r="N19" s="65" t="str">
        <f>_xlfn.IFNA(VLOOKUP(Table2[[#This Row],[tee time2]],'Classic day 2 - groups'!$A$3:$F$20,5,FALSE),"")</f>
        <v/>
      </c>
      <c r="O19" s="69" t="str">
        <f>IFERROR((MAX(starting_interval,IF(Table2[[#This Row],[gap2]]="NA",Table2[[#This Row],[avg gap]],Table2[[#This Row],[gap2]]))-starting_interval)*Table2[[#This Row],[followers2]]/Table2[[#This Row],[group size2]],"")</f>
        <v/>
      </c>
      <c r="P19" s="32" t="str">
        <f>_xlfn.IFNA(VLOOKUP(Table2[[#This Row],[Name]],'Summer FD - players'!$A$2:$B$65,2,FALSE),"")</f>
        <v/>
      </c>
      <c r="Q19" s="59" t="str">
        <f>IF(Table2[[#This Row],[tee time3]]&lt;&gt;"",COUNTIF('Summer FD - players'!$B$2:$B$65,"="&amp;Table2[[#This Row],[tee time3]]),"")</f>
        <v/>
      </c>
      <c r="R19" s="59" t="str">
        <f>_xlfn.IFNA(VLOOKUP(Table2[[#This Row],[tee time3]],'Summer FD - groups'!$A$3:$F$20,6,FALSE),"")</f>
        <v/>
      </c>
      <c r="S19" s="4" t="str">
        <f>_xlfn.IFNA(VLOOKUP(Table2[[#This Row],[tee time3]],'Summer FD - groups'!$A$3:$F$20,4,FALSE),"")</f>
        <v/>
      </c>
      <c r="T19" s="13" t="str">
        <f>_xlfn.IFNA(VLOOKUP(Table2[[#This Row],[tee time3]],'Summer FD - groups'!$A$3:$F$20,5,FALSE),"")</f>
        <v/>
      </c>
      <c r="U19" s="69" t="str">
        <f>IF(Table2[[#This Row],[avg gap]]&lt;&gt;"",IFERROR((MAX(starting_interval,IF(Table2[[#This Row],[gap3]]="NA",Table2[[#This Row],[avg gap]],Table2[[#This Row],[gap3]]))-starting_interval)*Table2[[#This Row],[followers3]]/Table2[[#This Row],[group size3]],""),"")</f>
        <v/>
      </c>
      <c r="V19" s="32" t="str">
        <f>_xlfn.IFNA(VLOOKUP(Table2[[#This Row],[Name]],'6-6-6 - players'!$A$2:$B$69,2,FALSE),"")</f>
        <v/>
      </c>
      <c r="W19" s="59" t="str">
        <f>IF(Table2[[#This Row],[tee time4]]&lt;&gt;"",COUNTIF('6-6-6 - players'!$B$2:$B$69,"="&amp;Table2[[#This Row],[tee time4]]),"")</f>
        <v/>
      </c>
      <c r="X19" s="59" t="str">
        <f>_xlfn.IFNA(VLOOKUP(Table2[[#This Row],[tee time4]],'6-6-6 - groups'!$A$3:$F$20,6,FALSE),"")</f>
        <v/>
      </c>
      <c r="Y19" s="4" t="str">
        <f>_xlfn.IFNA(VLOOKUP(Table2[[#This Row],[tee time4]],'6-6-6 - groups'!$A$3:$F$20,4,FALSE),"")</f>
        <v/>
      </c>
      <c r="Z19" s="13" t="str">
        <f>_xlfn.IFNA(VLOOKUP(Table2[[#This Row],[tee time4]],'6-6-6 - groups'!$A$3:$F$20,5,FALSE),"")</f>
        <v/>
      </c>
      <c r="AA19" s="69" t="str">
        <f>IF(Table2[[#This Row],[avg gap]]&lt;&gt;"",IFERROR((MAX(starting_interval,IF(Table2[[#This Row],[gap4]]="NA",Table2[[#This Row],[avg gap]],Table2[[#This Row],[gap4]]))-starting_interval)*Table2[[#This Row],[followers4]]/Table2[[#This Row],[group size4]],""),"")</f>
        <v/>
      </c>
      <c r="AB19" s="32">
        <f>_xlfn.IFNA(VLOOKUP(Table2[[#This Row],[Name]],'Fall FD - players'!$A$2:$B$65,2,FALSE),"")</f>
        <v>0.3444444444444445</v>
      </c>
      <c r="AC19" s="59">
        <f>IF(Table2[[#This Row],[tee time5]]&lt;&gt;"",COUNTIF('Fall FD - players'!$B$2:$B$65,"="&amp;Table2[[#This Row],[tee time5]]),"")</f>
        <v>3</v>
      </c>
      <c r="AD19" s="59">
        <f>_xlfn.IFNA(VLOOKUP(Table2[[#This Row],[tee time5]],'Fall FD - groups'!$A$3:$F$20,6,FALSE),"")</f>
        <v>64</v>
      </c>
      <c r="AE19" s="4">
        <f>_xlfn.IFNA(VLOOKUP(Table2[[#This Row],[tee time5]],'Fall FD - groups'!$A$3:$F$20,4,FALSE),"")</f>
        <v>0.1701388888888889</v>
      </c>
      <c r="AF19" s="13">
        <f>IFERROR(MIN(_xlfn.IFNA(VLOOKUP(Table2[[#This Row],[tee time5]],'Fall FD - groups'!$A$3:$F$20,5,FALSE),""),starting_interval + Table2[[#This Row],[round5]] - standard_round_time),"")</f>
        <v>1.0416666666666685E-2</v>
      </c>
      <c r="AG19" s="69">
        <f>IF(AND(Table2[[#This Row],[gap5]]="NA",Table2[[#This Row],[round5]]&lt;4/24),0,IFERROR((MAX(starting_interval,IF(Table2[[#This Row],[gap5]]="NA",Table2[[#This Row],[avg gap]],Table2[[#This Row],[gap5]]))-starting_interval)*Table2[[#This Row],[followers5]]/Table2[[#This Row],[group size5]],""))</f>
        <v>7.4074074074074472E-2</v>
      </c>
      <c r="AH19" s="32">
        <f>_xlfn.IFNA(VLOOKUP(Table2[[#This Row],[Name]],'Stableford - players'!$A$2:$B$65,2,FALSE),"")</f>
        <v>0.375</v>
      </c>
      <c r="AI19" s="59">
        <f>IF(Table2[[#This Row],[tee time6]]&lt;&gt;"",COUNTIF('Stableford - players'!$B$2:$B$65,"="&amp;Table2[[#This Row],[tee time6]]),"")</f>
        <v>4</v>
      </c>
      <c r="AJ19" s="59">
        <f>_xlfn.IFNA(VLOOKUP(Table2[[#This Row],[tee time6]],'Stableford - groups'!$A$3:$F$20,6,FALSE),"")</f>
        <v>36</v>
      </c>
      <c r="AK19" s="11">
        <f>_xlfn.IFNA(VLOOKUP(Table2[[#This Row],[tee time6]],'Stableford - groups'!$A$3:$F$20,4,FALSE),"")</f>
        <v>0.1694444444444444</v>
      </c>
      <c r="AL19" s="13">
        <f>_xlfn.IFNA(VLOOKUP(Table2[[#This Row],[tee time6]],'Stableford - groups'!$A$3:$F$20,5,FALSE),"")</f>
        <v>9.0277777777777457E-3</v>
      </c>
      <c r="AM19" s="68">
        <f>IF(AND(Table2[[#This Row],[gap6]]="NA",Table2[[#This Row],[round6]]&lt;4/24),0,IFERROR((MAX(starting_interval,IF(Table2[[#This Row],[gap6]]="NA",Table2[[#This Row],[avg gap]],Table2[[#This Row],[gap6]]))-starting_interval)*Table2[[#This Row],[followers6]]/Table2[[#This Row],[group size6]],""))</f>
        <v>1.8749999999999715E-2</v>
      </c>
      <c r="AN19" s="32">
        <f>_xlfn.IFNA(VLOOKUP(Table2[[#This Row],[Name]],'Turkey Shoot - players'!$A$2:$B$65,2,FALSE),"")</f>
        <v>0.41666666666666669</v>
      </c>
      <c r="AO19" s="59">
        <f>IF(Table2[[#This Row],[tee time7]]&lt;&gt;"",COUNTIF('Turkey Shoot - players'!$B$2:$B$65,"="&amp;Table2[[#This Row],[tee time7]]),"")</f>
        <v>4</v>
      </c>
      <c r="AP19" s="59">
        <f>_xlfn.IFNA(VLOOKUP(Table2[[#This Row],[tee time7]],'Stableford - groups'!$A$3:$F$20,6,FALSE),"")</f>
        <v>12</v>
      </c>
      <c r="AQ19" s="11">
        <f>_xlfn.IFNA(VLOOKUP(Table2[[#This Row],[tee time7]],'Turkey Shoot - groups'!$A$3:$F$20,4,FALSE),"")</f>
        <v>0.18055555555555558</v>
      </c>
      <c r="AR19" s="13">
        <f>_xlfn.IFNA(VLOOKUP(Table2[[#This Row],[tee time7]],'Turkey Shoot - groups'!$A$3:$F$20,5,FALSE),"")</f>
        <v>1.2499999999999999E-2</v>
      </c>
      <c r="AS19" s="68">
        <f>IF(AND(Table2[[#This Row],[gap7]]="NA",Table2[[#This Row],[round7]]&lt;4/24),0,IFERROR((MAX(starting_interval,IF(Table2[[#This Row],[gap7]]="NA",Table2[[#This Row],[avg gap]],Table2[[#This Row],[gap7]]))-starting_interval)*Table2[[#This Row],[followers7]]/Table2[[#This Row],[group size7]],""))</f>
        <v>1.6666666666666663E-2</v>
      </c>
      <c r="AT19" s="72">
        <f>COUNT(Table2[[#This Row],[Tee time1]],Table2[[#This Row],[tee time2]],Table2[[#This Row],[tee time3]],Table2[[#This Row],[tee time4]],Table2[[#This Row],[tee time5]],Table2[[#This Row],[tee time6]],Table2[[#This Row],[tee time7]])</f>
        <v>3</v>
      </c>
      <c r="AU19" s="4">
        <f>IFERROR(AVERAGE(Table2[[#This Row],[Tee time1]],Table2[[#This Row],[tee time2]],Table2[[#This Row],[tee time3]],Table2[[#This Row],[tee time4]],Table2[[#This Row],[tee time5]],Table2[[#This Row],[tee time6]],Table2[[#This Row],[tee time7]]),"")</f>
        <v>0.37870370370370376</v>
      </c>
      <c r="AV19" s="11">
        <f>IFERROR(MEDIAN(Table2[[#This Row],[round1]],Table2[[#This Row],[Round2]],Table2[[#This Row],[round3]],Table2[[#This Row],[round4]],Table2[[#This Row],[round5]],Table2[[#This Row],[round6]],Table2[[#This Row],[round7]]),"")</f>
        <v>0.1701388888888889</v>
      </c>
      <c r="AW19" s="11">
        <f>IFERROR(AVERAGE(Table2[[#This Row],[gap1]],Table2[[#This Row],[gap2]],Table2[[#This Row],[gap3]],Table2[[#This Row],[gap4]],Table2[[#This Row],[gap5]],Table2[[#This Row],[gap6]],Table2[[#This Row],[gap7]]),"")</f>
        <v>1.0648148148148143E-2</v>
      </c>
      <c r="AX19" s="9">
        <f>IFERROR((Table2[[#This Row],[avg gap]]-starting_interval)*24*60*Table2[[#This Row],[Count]],"NA")</f>
        <v>15.999999999999979</v>
      </c>
      <c r="AY1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0.10949074074074085</v>
      </c>
      <c r="AZ19" s="2"/>
    </row>
    <row r="20" spans="1:52" x14ac:dyDescent="0.3">
      <c r="A20" s="10" t="s">
        <v>27</v>
      </c>
      <c r="B20" s="1" t="s">
        <v>265</v>
      </c>
      <c r="C20" s="19">
        <v>10.1</v>
      </c>
      <c r="D20" s="32">
        <f>_xlfn.IFNA(VLOOKUP(Table2[[#This Row],[Name]],'Classic day 1 - players'!$A$2:$B$64,2,FALSE),"")</f>
        <v>0.34583333333333338</v>
      </c>
      <c r="E20" s="33">
        <f>IF(Table2[[#This Row],[Tee time1]]&lt;&gt;"",COUNTIF('Classic day 1 - players'!$B$2:$B$64,"="&amp;Table2[[#This Row],[Tee time1]]),"")</f>
        <v>4</v>
      </c>
      <c r="F20" s="33">
        <f>_xlfn.IFNA(VLOOKUP(Table2[[#This Row],[Tee time1]],'Classic day 1 - groups'!$A$3:$F$20,6,FALSE),"")</f>
        <v>60</v>
      </c>
      <c r="G20" s="11">
        <f>_xlfn.IFNA(VLOOKUP(Table2[[#This Row],[Tee time1]],'Classic day 1 - groups'!$A$3:$F$20,4,FALSE),"")</f>
        <v>0.20000000000000007</v>
      </c>
      <c r="H20" s="12">
        <f>_xlfn.IFNA(VLOOKUP(Table2[[#This Row],[Tee time1]],'Classic day 1 - groups'!$A$3:$F$20,5,FALSE),"")</f>
        <v>7.6388888888889728E-3</v>
      </c>
      <c r="I20" s="69">
        <f>IFERROR((MAX(starting_interval,IF(Table2[[#This Row],[gap1]]="NA",Table2[[#This Row],[avg gap]],Table2[[#This Row],[gap1]]))-starting_interval)*Table2[[#This Row],[followers1]]/Table2[[#This Row],[group size]],"")</f>
        <v>1.0416666666667931E-2</v>
      </c>
      <c r="J20" s="32">
        <f>_xlfn.IFNA(VLOOKUP(Table2[[#This Row],[Name]],'Classic day 2 - players'!$A$2:$B$64,2,FALSE),"")</f>
        <v>0.37708333333333338</v>
      </c>
      <c r="K20" s="33">
        <f>IF(Table2[[#This Row],[tee time2]]&lt;&gt;"",COUNTIF('Classic day 2 - players'!$B$2:$B$64,"="&amp;Table2[[#This Row],[tee time2]]),"")</f>
        <v>4</v>
      </c>
      <c r="L20" s="33">
        <f>_xlfn.IFNA(VLOOKUP(Table2[[#This Row],[tee time2]],'Classic day 2 - groups'!$A$3:$F$20,6,FALSE),"")</f>
        <v>24</v>
      </c>
      <c r="M20" s="4">
        <f>_xlfn.IFNA(VLOOKUP(Table2[[#This Row],[tee time2]],'Classic day 2 - groups'!$A$3:$F$20,4,FALSE),"")</f>
        <v>0.18819444444444444</v>
      </c>
      <c r="N20" s="65">
        <f>_xlfn.IFNA(VLOOKUP(Table2[[#This Row],[tee time2]],'Classic day 2 - groups'!$A$3:$F$20,5,FALSE),"")</f>
        <v>6.9444444444444441E-3</v>
      </c>
      <c r="O20" s="69">
        <f>IFERROR((MAX(starting_interval,IF(Table2[[#This Row],[gap2]]="NA",Table2[[#This Row],[avg gap]],Table2[[#This Row],[gap2]]))-starting_interval)*Table2[[#This Row],[followers2]]/Table2[[#This Row],[group size2]],"")</f>
        <v>0</v>
      </c>
      <c r="P20" s="32">
        <f>_xlfn.IFNA(VLOOKUP(Table2[[#This Row],[Name]],'Summer FD - players'!$A$2:$B$65,2,FALSE),"")</f>
        <v>0.33611111111111108</v>
      </c>
      <c r="Q20" s="59">
        <f>IF(Table2[[#This Row],[tee time3]]&lt;&gt;"",COUNTIF('Summer FD - players'!$B$2:$B$65,"="&amp;Table2[[#This Row],[tee time3]]),"")</f>
        <v>4</v>
      </c>
      <c r="R20" s="59">
        <f>_xlfn.IFNA(VLOOKUP(Table2[[#This Row],[tee time3]],'Summer FD - groups'!$A$3:$F$20,6,FALSE),"")</f>
        <v>60</v>
      </c>
      <c r="S20" s="4">
        <f>_xlfn.IFNA(VLOOKUP(Table2[[#This Row],[tee time3]],'Summer FD - groups'!$A$3:$F$20,4,FALSE),"")</f>
        <v>0.18680555555555556</v>
      </c>
      <c r="T20" s="13">
        <f>_xlfn.IFNA(VLOOKUP(Table2[[#This Row],[tee time3]],'Summer FD - groups'!$A$3:$F$20,5,FALSE),"")</f>
        <v>1.1805555555555625E-2</v>
      </c>
      <c r="U20" s="69">
        <f>IF(Table2[[#This Row],[avg gap]]&lt;&gt;"",IFERROR((MAX(starting_interval,IF(Table2[[#This Row],[gap3]]="NA",Table2[[#This Row],[avg gap]],Table2[[#This Row],[gap3]]))-starting_interval)*Table2[[#This Row],[followers3]]/Table2[[#This Row],[group size3]],""),"")</f>
        <v>7.2916666666667712E-2</v>
      </c>
      <c r="V20" s="32">
        <f>_xlfn.IFNA(VLOOKUP(Table2[[#This Row],[Name]],'6-6-6 - players'!$A$2:$B$69,2,FALSE),"")</f>
        <v>0.375</v>
      </c>
      <c r="W20" s="59">
        <f>IF(Table2[[#This Row],[tee time4]]&lt;&gt;"",COUNTIF('6-6-6 - players'!$B$2:$B$69,"="&amp;Table2[[#This Row],[tee time4]]),"")</f>
        <v>4</v>
      </c>
      <c r="X20" s="59">
        <f>_xlfn.IFNA(VLOOKUP(Table2[[#This Row],[tee time4]],'6-6-6 - groups'!$A$3:$F$20,6,FALSE),"")</f>
        <v>44</v>
      </c>
      <c r="Y20" s="4">
        <f>_xlfn.IFNA(VLOOKUP(Table2[[#This Row],[tee time4]],'6-6-6 - groups'!$A$3:$F$20,4,FALSE),"")</f>
        <v>0.17638888888888898</v>
      </c>
      <c r="Z20" s="13">
        <f>_xlfn.IFNA(VLOOKUP(Table2[[#This Row],[tee time4]],'6-6-6 - groups'!$A$3:$F$20,5,FALSE),"")</f>
        <v>9.0277777777778567E-3</v>
      </c>
      <c r="AA20" s="69">
        <f>IF(Table2[[#This Row],[avg gap]]&lt;&gt;"",IFERROR((MAX(starting_interval,IF(Table2[[#This Row],[gap4]]="NA",Table2[[#This Row],[avg gap]],Table2[[#This Row],[gap4]]))-starting_interval)*Table2[[#This Row],[followers4]]/Table2[[#This Row],[group size4]],""),"")</f>
        <v>2.2916666666667539E-2</v>
      </c>
      <c r="AB20" s="32">
        <f>_xlfn.IFNA(VLOOKUP(Table2[[#This Row],[Name]],'Fall FD - players'!$A$2:$B$65,2,FALSE),"")</f>
        <v>0.36527777777777781</v>
      </c>
      <c r="AC20" s="59">
        <f>IF(Table2[[#This Row],[tee time5]]&lt;&gt;"",COUNTIF('Fall FD - players'!$B$2:$B$65,"="&amp;Table2[[#This Row],[tee time5]]),"")</f>
        <v>3</v>
      </c>
      <c r="AD20" s="59">
        <f>_xlfn.IFNA(VLOOKUP(Table2[[#This Row],[tee time5]],'Fall FD - groups'!$A$3:$F$20,6,FALSE),"")</f>
        <v>52</v>
      </c>
      <c r="AE20" s="4">
        <f>_xlfn.IFNA(VLOOKUP(Table2[[#This Row],[tee time5]],'Fall FD - groups'!$A$3:$F$20,4,FALSE),"")</f>
        <v>0.17152777777777778</v>
      </c>
      <c r="AF20" s="13">
        <f>IFERROR(MIN(_xlfn.IFNA(VLOOKUP(Table2[[#This Row],[tee time5]],'Fall FD - groups'!$A$3:$F$20,5,FALSE),""),starting_interval + Table2[[#This Row],[round5]] - standard_round_time),"")</f>
        <v>4.8611111111110938E-3</v>
      </c>
      <c r="AG20" s="69">
        <f>IF(AND(Table2[[#This Row],[gap5]]="NA",Table2[[#This Row],[round5]]&lt;4/24),0,IFERROR((MAX(starting_interval,IF(Table2[[#This Row],[gap5]]="NA",Table2[[#This Row],[avg gap]],Table2[[#This Row],[gap5]]))-starting_interval)*Table2[[#This Row],[followers5]]/Table2[[#This Row],[group size5]],""))</f>
        <v>0</v>
      </c>
      <c r="AH20" s="32">
        <f>_xlfn.IFNA(VLOOKUP(Table2[[#This Row],[Name]],'Stableford - players'!$A$2:$B$65,2,FALSE),"")</f>
        <v>0.34722222222222227</v>
      </c>
      <c r="AI20" s="59">
        <f>IF(Table2[[#This Row],[tee time6]]&lt;&gt;"",COUNTIF('Stableford - players'!$B$2:$B$65,"="&amp;Table2[[#This Row],[tee time6]]),"")</f>
        <v>4</v>
      </c>
      <c r="AJ20" s="59">
        <f>_xlfn.IFNA(VLOOKUP(Table2[[#This Row],[tee time6]],'Stableford - groups'!$A$3:$F$20,6,FALSE),"")</f>
        <v>52</v>
      </c>
      <c r="AK20" s="11">
        <f>_xlfn.IFNA(VLOOKUP(Table2[[#This Row],[tee time6]],'Stableford - groups'!$A$3:$F$20,4,FALSE),"")</f>
        <v>0.1694444444444444</v>
      </c>
      <c r="AL20" s="13">
        <f>_xlfn.IFNA(VLOOKUP(Table2[[#This Row],[tee time6]],'Stableford - groups'!$A$3:$F$20,5,FALSE),"")</f>
        <v>5.5555555555555358E-3</v>
      </c>
      <c r="AM20" s="68">
        <f>IF(AND(Table2[[#This Row],[gap6]]="NA",Table2[[#This Row],[round6]]&lt;4/24),0,IFERROR((MAX(starting_interval,IF(Table2[[#This Row],[gap6]]="NA",Table2[[#This Row],[avg gap]],Table2[[#This Row],[gap6]]))-starting_interval)*Table2[[#This Row],[followers6]]/Table2[[#This Row],[group size6]],""))</f>
        <v>0</v>
      </c>
      <c r="AN20" s="32">
        <f>_xlfn.IFNA(VLOOKUP(Table2[[#This Row],[Name]],'Turkey Shoot - players'!$A$2:$B$65,2,FALSE),"")</f>
        <v>0.375</v>
      </c>
      <c r="AO20" s="59">
        <f>IF(Table2[[#This Row],[tee time7]]&lt;&gt;"",COUNTIF('Turkey Shoot - players'!$B$2:$B$65,"="&amp;Table2[[#This Row],[tee time7]]),"")</f>
        <v>3</v>
      </c>
      <c r="AP20" s="59">
        <f>_xlfn.IFNA(VLOOKUP(Table2[[#This Row],[tee time7]],'Stableford - groups'!$A$3:$F$20,6,FALSE),"")</f>
        <v>36</v>
      </c>
      <c r="AQ20" s="11">
        <f>_xlfn.IFNA(VLOOKUP(Table2[[#This Row],[tee time7]],'Turkey Shoot - groups'!$A$3:$F$20,4,FALSE),"")</f>
        <v>0.16875000000000007</v>
      </c>
      <c r="AR20" s="13">
        <f>_xlfn.IFNA(VLOOKUP(Table2[[#This Row],[tee time7]],'Turkey Shoot - groups'!$A$3:$F$20,5,FALSE),"")</f>
        <v>4.1666666666666666E-3</v>
      </c>
      <c r="AS20" s="68">
        <f>IF(AND(Table2[[#This Row],[gap7]]="NA",Table2[[#This Row],[round7]]&lt;4/24),0,IFERROR((MAX(starting_interval,IF(Table2[[#This Row],[gap7]]="NA",Table2[[#This Row],[avg gap]],Table2[[#This Row],[gap7]]))-starting_interval)*Table2[[#This Row],[followers7]]/Table2[[#This Row],[group size7]],""))</f>
        <v>0</v>
      </c>
      <c r="AT20" s="72">
        <f>COUNT(Table2[[#This Row],[Tee time1]],Table2[[#This Row],[tee time2]],Table2[[#This Row],[tee time3]],Table2[[#This Row],[tee time4]],Table2[[#This Row],[tee time5]],Table2[[#This Row],[tee time6]],Table2[[#This Row],[tee time7]])</f>
        <v>7</v>
      </c>
      <c r="AU20" s="4">
        <f>IFERROR(AVERAGE(Table2[[#This Row],[Tee time1]],Table2[[#This Row],[tee time2]],Table2[[#This Row],[tee time3]],Table2[[#This Row],[tee time4]],Table2[[#This Row],[tee time5]],Table2[[#This Row],[tee time6]],Table2[[#This Row],[tee time7]]),"")</f>
        <v>0.36021825396825402</v>
      </c>
      <c r="AV20" s="11">
        <f>IFERROR(MEDIAN(Table2[[#This Row],[round1]],Table2[[#This Row],[Round2]],Table2[[#This Row],[round3]],Table2[[#This Row],[round4]],Table2[[#This Row],[round5]],Table2[[#This Row],[round6]],Table2[[#This Row],[round7]]),"")</f>
        <v>0.17638888888888898</v>
      </c>
      <c r="AW20" s="11">
        <f>IFERROR(AVERAGE(Table2[[#This Row],[gap1]],Table2[[#This Row],[gap2]],Table2[[#This Row],[gap3]],Table2[[#This Row],[gap4]],Table2[[#This Row],[gap5]],Table2[[#This Row],[gap6]],Table2[[#This Row],[gap7]]),"")</f>
        <v>7.1428571428571713E-3</v>
      </c>
      <c r="AX20" s="9">
        <f>IFERROR((Table2[[#This Row],[avg gap]]-starting_interval)*24*60*Table2[[#This Row],[Count]],"NA")</f>
        <v>2.00000000000029</v>
      </c>
      <c r="AY2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0.10625000000000319</v>
      </c>
      <c r="AZ20" s="2"/>
    </row>
    <row r="21" spans="1:52" x14ac:dyDescent="0.3">
      <c r="A21" s="10" t="s">
        <v>174</v>
      </c>
      <c r="B21" s="1" t="s">
        <v>415</v>
      </c>
      <c r="C21" s="19">
        <v>13.8</v>
      </c>
      <c r="D21" s="32">
        <f>_xlfn.IFNA(VLOOKUP(Table2[[#This Row],[Name]],'Classic day 1 - players'!$A$2:$B$64,2,FALSE),"")</f>
        <v>0.33958333333333335</v>
      </c>
      <c r="E21" s="33">
        <f>IF(Table2[[#This Row],[Tee time1]]&lt;&gt;"",COUNTIF('Classic day 1 - players'!$B$2:$B$64,"="&amp;Table2[[#This Row],[Tee time1]]),"")</f>
        <v>4</v>
      </c>
      <c r="F21" s="33">
        <f>_xlfn.IFNA(VLOOKUP(Table2[[#This Row],[Tee time1]],'Classic day 1 - groups'!$A$3:$F$20,6,FALSE),"")</f>
        <v>64</v>
      </c>
      <c r="G21" s="11">
        <f>_xlfn.IFNA(VLOOKUP(Table2[[#This Row],[Tee time1]],'Classic day 1 - groups'!$A$3:$F$20,4,FALSE),"")</f>
        <v>0.19930555555555551</v>
      </c>
      <c r="H21" s="12">
        <f>_xlfn.IFNA(VLOOKUP(Table2[[#This Row],[Tee time1]],'Classic day 1 - groups'!$A$3:$F$20,5,FALSE),"")</f>
        <v>1.1111111111111072E-2</v>
      </c>
      <c r="I21" s="69">
        <f>IFERROR((MAX(starting_interval,IF(Table2[[#This Row],[gap1]]="NA",Table2[[#This Row],[avg gap]],Table2[[#This Row],[gap1]]))-starting_interval)*Table2[[#This Row],[followers1]]/Table2[[#This Row],[group size]],"")</f>
        <v>6.6666666666666041E-2</v>
      </c>
      <c r="J21" s="32">
        <f>_xlfn.IFNA(VLOOKUP(Table2[[#This Row],[Name]],'Classic day 2 - players'!$A$2:$B$64,2,FALSE),"")</f>
        <v>0.39583333333333331</v>
      </c>
      <c r="K21" s="34">
        <f>IF(Table2[[#This Row],[tee time2]]&lt;&gt;"",COUNTIF('Classic day 2 - players'!$B$2:$B$64,"="&amp;Table2[[#This Row],[tee time2]]),"")</f>
        <v>4</v>
      </c>
      <c r="L21" s="34">
        <f>_xlfn.IFNA(VLOOKUP(Table2[[#This Row],[tee time2]],'Classic day 2 - groups'!$A$3:$F$20,6,FALSE),"")</f>
        <v>12</v>
      </c>
      <c r="M21" s="4">
        <f>_xlfn.IFNA(VLOOKUP(Table2[[#This Row],[tee time2]],'Classic day 2 - groups'!$A$3:$F$20,4,FALSE),"")</f>
        <v>0.18472222222222223</v>
      </c>
      <c r="N21" s="65">
        <f>_xlfn.IFNA(VLOOKUP(Table2[[#This Row],[tee time2]],'Classic day 2 - groups'!$A$3:$F$20,5,FALSE),"")</f>
        <v>4.8611111111111112E-3</v>
      </c>
      <c r="O21" s="69">
        <f>IFERROR((MAX(starting_interval,IF(Table2[[#This Row],[gap2]]="NA",Table2[[#This Row],[avg gap]],Table2[[#This Row],[gap2]]))-starting_interval)*Table2[[#This Row],[followers2]]/Table2[[#This Row],[group size2]],"")</f>
        <v>0</v>
      </c>
      <c r="P21" s="32" t="str">
        <f>_xlfn.IFNA(VLOOKUP(Table2[[#This Row],[Name]],'Summer FD - players'!$A$2:$B$65,2,FALSE),"")</f>
        <v/>
      </c>
      <c r="Q21" s="59" t="str">
        <f>IF(Table2[[#This Row],[tee time3]]&lt;&gt;"",COUNTIF('Summer FD - players'!$B$2:$B$65,"="&amp;Table2[[#This Row],[tee time3]]),"")</f>
        <v/>
      </c>
      <c r="R21" s="59" t="str">
        <f>_xlfn.IFNA(VLOOKUP(Table2[[#This Row],[tee time3]],'Summer FD - groups'!$A$3:$F$20,6,FALSE),"")</f>
        <v/>
      </c>
      <c r="S21" s="4" t="str">
        <f>_xlfn.IFNA(VLOOKUP(Table2[[#This Row],[tee time3]],'Summer FD - groups'!$A$3:$F$20,4,FALSE),"")</f>
        <v/>
      </c>
      <c r="T21" s="13" t="str">
        <f>_xlfn.IFNA(VLOOKUP(Table2[[#This Row],[tee time3]],'Summer FD - groups'!$A$3:$F$20,5,FALSE),"")</f>
        <v/>
      </c>
      <c r="U21" s="69" t="str">
        <f>IF(Table2[[#This Row],[avg gap]]&lt;&gt;"",IFERROR((MAX(starting_interval,IF(Table2[[#This Row],[gap3]]="NA",Table2[[#This Row],[avg gap]],Table2[[#This Row],[gap3]]))-starting_interval)*Table2[[#This Row],[followers3]]/Table2[[#This Row],[group size3]],""),"")</f>
        <v/>
      </c>
      <c r="V21" s="32" t="str">
        <f>_xlfn.IFNA(VLOOKUP(Table2[[#This Row],[Name]],'6-6-6 - players'!$A$2:$B$69,2,FALSE),"")</f>
        <v/>
      </c>
      <c r="W21" s="59" t="str">
        <f>IF(Table2[[#This Row],[tee time4]]&lt;&gt;"",COUNTIF('6-6-6 - players'!$B$2:$B$69,"="&amp;Table2[[#This Row],[tee time4]]),"")</f>
        <v/>
      </c>
      <c r="X21" s="59" t="str">
        <f>_xlfn.IFNA(VLOOKUP(Table2[[#This Row],[tee time4]],'6-6-6 - groups'!$A$3:$F$20,6,FALSE),"")</f>
        <v/>
      </c>
      <c r="Y21" s="4" t="str">
        <f>_xlfn.IFNA(VLOOKUP(Table2[[#This Row],[tee time4]],'6-6-6 - groups'!$A$3:$F$20,4,FALSE),"")</f>
        <v/>
      </c>
      <c r="Z21" s="13" t="str">
        <f>_xlfn.IFNA(VLOOKUP(Table2[[#This Row],[tee time4]],'6-6-6 - groups'!$A$3:$F$20,5,FALSE),"")</f>
        <v/>
      </c>
      <c r="AA21" s="69" t="str">
        <f>IF(Table2[[#This Row],[avg gap]]&lt;&gt;"",IFERROR((MAX(starting_interval,IF(Table2[[#This Row],[gap4]]="NA",Table2[[#This Row],[avg gap]],Table2[[#This Row],[gap4]]))-starting_interval)*Table2[[#This Row],[followers4]]/Table2[[#This Row],[group size4]],""),"")</f>
        <v/>
      </c>
      <c r="AB21" s="32">
        <f>_xlfn.IFNA(VLOOKUP(Table2[[#This Row],[Name]],'Fall FD - players'!$A$2:$B$65,2,FALSE),"")</f>
        <v>0.39999999999999997</v>
      </c>
      <c r="AC21" s="59">
        <f>IF(Table2[[#This Row],[tee time5]]&lt;&gt;"",COUNTIF('Fall FD - players'!$B$2:$B$65,"="&amp;Table2[[#This Row],[tee time5]]),"")</f>
        <v>3</v>
      </c>
      <c r="AD21" s="59">
        <f>_xlfn.IFNA(VLOOKUP(Table2[[#This Row],[tee time5]],'Fall FD - groups'!$A$3:$F$20,6,FALSE),"")</f>
        <v>32</v>
      </c>
      <c r="AE21" s="4">
        <f>_xlfn.IFNA(VLOOKUP(Table2[[#This Row],[tee time5]],'Fall FD - groups'!$A$3:$F$20,4,FALSE),"")</f>
        <v>0.18125000000000002</v>
      </c>
      <c r="AF21" s="13">
        <f>IFERROR(MIN(_xlfn.IFNA(VLOOKUP(Table2[[#This Row],[tee time5]],'Fall FD - groups'!$A$3:$F$20,5,FALSE),""),starting_interval + Table2[[#This Row],[round5]] - standard_round_time),"")</f>
        <v>4.8611111111112049E-3</v>
      </c>
      <c r="AG21" s="69">
        <f>IF(AND(Table2[[#This Row],[gap5]]="NA",Table2[[#This Row],[round5]]&lt;4/24),0,IFERROR((MAX(starting_interval,IF(Table2[[#This Row],[gap5]]="NA",Table2[[#This Row],[avg gap]],Table2[[#This Row],[gap5]]))-starting_interval)*Table2[[#This Row],[followers5]]/Table2[[#This Row],[group size5]],""))</f>
        <v>0</v>
      </c>
      <c r="AH21" s="32">
        <f>_xlfn.IFNA(VLOOKUP(Table2[[#This Row],[Name]],'Stableford - players'!$A$2:$B$65,2,FALSE),"")</f>
        <v>0.36805555555555558</v>
      </c>
      <c r="AI21" s="59">
        <f>IF(Table2[[#This Row],[tee time6]]&lt;&gt;"",COUNTIF('Stableford - players'!$B$2:$B$65,"="&amp;Table2[[#This Row],[tee time6]]),"")</f>
        <v>3</v>
      </c>
      <c r="AJ21" s="59">
        <f>_xlfn.IFNA(VLOOKUP(Table2[[#This Row],[tee time6]],'Stableford - groups'!$A$3:$F$20,6,FALSE),"")</f>
        <v>40</v>
      </c>
      <c r="AK21" s="11">
        <f>_xlfn.IFNA(VLOOKUP(Table2[[#This Row],[tee time6]],'Stableford - groups'!$A$3:$F$20,4,FALSE),"")</f>
        <v>0.16666666666666669</v>
      </c>
      <c r="AL21" s="13">
        <f>_xlfn.IFNA(VLOOKUP(Table2[[#This Row],[tee time6]],'Stableford - groups'!$A$3:$F$20,5,FALSE),"")</f>
        <v>9.7222222222221877E-3</v>
      </c>
      <c r="AM21" s="68">
        <f>IF(AND(Table2[[#This Row],[gap6]]="NA",Table2[[#This Row],[round6]]&lt;4/24),0,IFERROR((MAX(starting_interval,IF(Table2[[#This Row],[gap6]]="NA",Table2[[#This Row],[avg gap]],Table2[[#This Row],[gap6]]))-starting_interval)*Table2[[#This Row],[followers6]]/Table2[[#This Row],[group size6]],""))</f>
        <v>3.7037037037036584E-2</v>
      </c>
      <c r="AN21" s="32" t="str">
        <f>_xlfn.IFNA(VLOOKUP(Table2[[#This Row],[Name]],'Turkey Shoot - players'!$A$2:$B$65,2,FALSE),"")</f>
        <v/>
      </c>
      <c r="AO21" s="59" t="str">
        <f>IF(Table2[[#This Row],[tee time7]]&lt;&gt;"",COUNTIF('Turkey Shoot - players'!$B$2:$B$65,"="&amp;Table2[[#This Row],[tee time7]]),"")</f>
        <v/>
      </c>
      <c r="AP21" s="59" t="str">
        <f>_xlfn.IFNA(VLOOKUP(Table2[[#This Row],[tee time7]],'Stableford - groups'!$A$3:$F$20,6,FALSE),"")</f>
        <v/>
      </c>
      <c r="AQ21" s="11" t="str">
        <f>_xlfn.IFNA(VLOOKUP(Table2[[#This Row],[tee time7]],'Turkey Shoot - groups'!$A$3:$F$20,4,FALSE),"")</f>
        <v/>
      </c>
      <c r="AR21" s="13" t="str">
        <f>_xlfn.IFNA(VLOOKUP(Table2[[#This Row],[tee time7]],'Turkey Shoot - groups'!$A$3:$F$20,5,FALSE),"")</f>
        <v/>
      </c>
      <c r="AS21" s="68" t="str">
        <f>IF(AND(Table2[[#This Row],[gap7]]="NA",Table2[[#This Row],[round7]]&lt;4/24),0,IFERROR((MAX(starting_interval,IF(Table2[[#This Row],[gap7]]="NA",Table2[[#This Row],[avg gap]],Table2[[#This Row],[gap7]]))-starting_interval)*Table2[[#This Row],[followers7]]/Table2[[#This Row],[group size7]],""))</f>
        <v/>
      </c>
      <c r="AT21" s="72">
        <f>COUNT(Table2[[#This Row],[Tee time1]],Table2[[#This Row],[tee time2]],Table2[[#This Row],[tee time3]],Table2[[#This Row],[tee time4]],Table2[[#This Row],[tee time5]],Table2[[#This Row],[tee time6]],Table2[[#This Row],[tee time7]])</f>
        <v>4</v>
      </c>
      <c r="AU21" s="4">
        <f>IFERROR(AVERAGE(Table2[[#This Row],[Tee time1]],Table2[[#This Row],[tee time2]],Table2[[#This Row],[tee time3]],Table2[[#This Row],[tee time4]],Table2[[#This Row],[tee time5]],Table2[[#This Row],[tee time6]],Table2[[#This Row],[tee time7]]),"")</f>
        <v>0.37586805555555552</v>
      </c>
      <c r="AV21" s="11">
        <f>IFERROR(MEDIAN(Table2[[#This Row],[round1]],Table2[[#This Row],[Round2]],Table2[[#This Row],[round3]],Table2[[#This Row],[round4]],Table2[[#This Row],[round5]],Table2[[#This Row],[round6]],Table2[[#This Row],[round7]]),"")</f>
        <v>0.18298611111111113</v>
      </c>
      <c r="AW21" s="11">
        <f>IFERROR(AVERAGE(Table2[[#This Row],[gap1]],Table2[[#This Row],[gap2]],Table2[[#This Row],[gap3]],Table2[[#This Row],[gap4]],Table2[[#This Row],[gap5]],Table2[[#This Row],[gap6]],Table2[[#This Row],[gap7]]),"")</f>
        <v>7.6388888888888938E-3</v>
      </c>
      <c r="AX21" s="9">
        <f>IFERROR((Table2[[#This Row],[avg gap]]-starting_interval)*24*60*Table2[[#This Row],[Count]],"NA")</f>
        <v>4.0000000000000311</v>
      </c>
      <c r="AY2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0.10370370370370263</v>
      </c>
      <c r="AZ21" s="2"/>
    </row>
    <row r="22" spans="1:52" x14ac:dyDescent="0.3">
      <c r="A22" s="10" t="s">
        <v>168</v>
      </c>
      <c r="B22" s="1" t="s">
        <v>409</v>
      </c>
      <c r="C22" s="19">
        <v>7.4</v>
      </c>
      <c r="D22" s="32">
        <f>_xlfn.IFNA(VLOOKUP(Table2[[#This Row],[Name]],'Classic day 1 - players'!$A$2:$B$64,2,FALSE),"")</f>
        <v>0.35833333333333334</v>
      </c>
      <c r="E22" s="33">
        <f>IF(Table2[[#This Row],[Tee time1]]&lt;&gt;"",COUNTIF('Classic day 1 - players'!$B$2:$B$64,"="&amp;Table2[[#This Row],[Tee time1]]),"")</f>
        <v>4</v>
      </c>
      <c r="F22" s="33">
        <f>_xlfn.IFNA(VLOOKUP(Table2[[#This Row],[Tee time1]],'Classic day 1 - groups'!$A$3:$F$20,6,FALSE),"")</f>
        <v>52</v>
      </c>
      <c r="G22" s="11">
        <f>_xlfn.IFNA(VLOOKUP(Table2[[#This Row],[Tee time1]],'Classic day 1 - groups'!$A$3:$F$20,4,FALSE),"")</f>
        <v>0.19930555555555557</v>
      </c>
      <c r="H22" s="12">
        <f>_xlfn.IFNA(VLOOKUP(Table2[[#This Row],[Tee time1]],'Classic day 1 - groups'!$A$3:$F$20,5,FALSE),"")</f>
        <v>3.4722222222222099E-3</v>
      </c>
      <c r="I22" s="69">
        <f>IFERROR((MAX(starting_interval,IF(Table2[[#This Row],[gap1]]="NA",Table2[[#This Row],[avg gap]],Table2[[#This Row],[gap1]]))-starting_interval)*Table2[[#This Row],[followers1]]/Table2[[#This Row],[group size]],"")</f>
        <v>0</v>
      </c>
      <c r="J22" s="32">
        <f>_xlfn.IFNA(VLOOKUP(Table2[[#This Row],[Name]],'Classic day 2 - players'!$A$2:$B$64,2,FALSE),"")</f>
        <v>0.40208333333333335</v>
      </c>
      <c r="K22" s="33">
        <f>IF(Table2[[#This Row],[tee time2]]&lt;&gt;"",COUNTIF('Classic day 2 - players'!$B$2:$B$64,"="&amp;Table2[[#This Row],[tee time2]]),"")</f>
        <v>4</v>
      </c>
      <c r="L22" s="33">
        <f>_xlfn.IFNA(VLOOKUP(Table2[[#This Row],[tee time2]],'Classic day 2 - groups'!$A$3:$F$20,6,FALSE),"")</f>
        <v>8</v>
      </c>
      <c r="M22" s="4">
        <f>_xlfn.IFNA(VLOOKUP(Table2[[#This Row],[tee time2]],'Classic day 2 - groups'!$A$3:$F$20,4,FALSE),"")</f>
        <v>0.18958333333333333</v>
      </c>
      <c r="N22" s="65">
        <f>_xlfn.IFNA(VLOOKUP(Table2[[#This Row],[tee time2]],'Classic day 2 - groups'!$A$3:$F$20,5,FALSE),"")</f>
        <v>1.1805555555555555E-2</v>
      </c>
      <c r="O22" s="69">
        <f>IFERROR((MAX(starting_interval,IF(Table2[[#This Row],[gap2]]="NA",Table2[[#This Row],[avg gap]],Table2[[#This Row],[gap2]]))-starting_interval)*Table2[[#This Row],[followers2]]/Table2[[#This Row],[group size2]],"")</f>
        <v>9.7222222222222224E-3</v>
      </c>
      <c r="P22" s="32" t="str">
        <f>_xlfn.IFNA(VLOOKUP(Table2[[#This Row],[Name]],'Summer FD - players'!$A$2:$B$65,2,FALSE),"")</f>
        <v/>
      </c>
      <c r="Q22" s="59" t="str">
        <f>IF(Table2[[#This Row],[tee time3]]&lt;&gt;"",COUNTIF('Summer FD - players'!$B$2:$B$65,"="&amp;Table2[[#This Row],[tee time3]]),"")</f>
        <v/>
      </c>
      <c r="R22" s="59" t="str">
        <f>_xlfn.IFNA(VLOOKUP(Table2[[#This Row],[tee time3]],'Summer FD - groups'!$A$3:$F$20,6,FALSE),"")</f>
        <v/>
      </c>
      <c r="S22" s="4" t="str">
        <f>_xlfn.IFNA(VLOOKUP(Table2[[#This Row],[tee time3]],'Summer FD - groups'!$A$3:$F$20,4,FALSE),"")</f>
        <v/>
      </c>
      <c r="T22" s="13" t="str">
        <f>_xlfn.IFNA(VLOOKUP(Table2[[#This Row],[tee time3]],'Summer FD - groups'!$A$3:$F$20,5,FALSE),"")</f>
        <v/>
      </c>
      <c r="U22" s="69" t="str">
        <f>IF(Table2[[#This Row],[avg gap]]&lt;&gt;"",IFERROR((MAX(starting_interval,IF(Table2[[#This Row],[gap3]]="NA",Table2[[#This Row],[avg gap]],Table2[[#This Row],[gap3]]))-starting_interval)*Table2[[#This Row],[followers3]]/Table2[[#This Row],[group size3]],""),"")</f>
        <v/>
      </c>
      <c r="V22" s="32">
        <f>_xlfn.IFNA(VLOOKUP(Table2[[#This Row],[Name]],'6-6-6 - players'!$A$2:$B$69,2,FALSE),"")</f>
        <v>0.3611111111111111</v>
      </c>
      <c r="W22" s="59">
        <f>IF(Table2[[#This Row],[tee time4]]&lt;&gt;"",COUNTIF('6-6-6 - players'!$B$2:$B$69,"="&amp;Table2[[#This Row],[tee time4]]),"")</f>
        <v>4</v>
      </c>
      <c r="X22" s="59">
        <f>_xlfn.IFNA(VLOOKUP(Table2[[#This Row],[tee time4]],'6-6-6 - groups'!$A$3:$F$20,6,FALSE),"")</f>
        <v>52</v>
      </c>
      <c r="Y22" s="4">
        <f>_xlfn.IFNA(VLOOKUP(Table2[[#This Row],[tee time4]],'6-6-6 - groups'!$A$3:$F$20,4,FALSE),"")</f>
        <v>0.17430555555555555</v>
      </c>
      <c r="Z22" s="13">
        <f>_xlfn.IFNA(VLOOKUP(Table2[[#This Row],[tee time4]],'6-6-6 - groups'!$A$3:$F$20,5,FALSE),"")</f>
        <v>8.3333333333333037E-3</v>
      </c>
      <c r="AA22" s="69">
        <f>IF(Table2[[#This Row],[avg gap]]&lt;&gt;"",IFERROR((MAX(starting_interval,IF(Table2[[#This Row],[gap4]]="NA",Table2[[#This Row],[avg gap]],Table2[[#This Row],[gap4]]))-starting_interval)*Table2[[#This Row],[followers4]]/Table2[[#This Row],[group size4]],""),"")</f>
        <v>1.8055555555555176E-2</v>
      </c>
      <c r="AB22" s="32">
        <f>_xlfn.IFNA(VLOOKUP(Table2[[#This Row],[Name]],'Fall FD - players'!$A$2:$B$65,2,FALSE),"")</f>
        <v>0.3444444444444445</v>
      </c>
      <c r="AC22" s="59">
        <f>IF(Table2[[#This Row],[tee time5]]&lt;&gt;"",COUNTIF('Fall FD - players'!$B$2:$B$65,"="&amp;Table2[[#This Row],[tee time5]]),"")</f>
        <v>3</v>
      </c>
      <c r="AD22" s="59">
        <f>_xlfn.IFNA(VLOOKUP(Table2[[#This Row],[tee time5]],'Fall FD - groups'!$A$3:$F$20,6,FALSE),"")</f>
        <v>64</v>
      </c>
      <c r="AE22" s="4">
        <f>_xlfn.IFNA(VLOOKUP(Table2[[#This Row],[tee time5]],'Fall FD - groups'!$A$3:$F$20,4,FALSE),"")</f>
        <v>0.1701388888888889</v>
      </c>
      <c r="AF22" s="13">
        <f>IFERROR(MIN(_xlfn.IFNA(VLOOKUP(Table2[[#This Row],[tee time5]],'Fall FD - groups'!$A$3:$F$20,5,FALSE),""),starting_interval + Table2[[#This Row],[round5]] - standard_round_time),"")</f>
        <v>1.0416666666666685E-2</v>
      </c>
      <c r="AG22" s="69">
        <f>IF(AND(Table2[[#This Row],[gap5]]="NA",Table2[[#This Row],[round5]]&lt;4/24),0,IFERROR((MAX(starting_interval,IF(Table2[[#This Row],[gap5]]="NA",Table2[[#This Row],[avg gap]],Table2[[#This Row],[gap5]]))-starting_interval)*Table2[[#This Row],[followers5]]/Table2[[#This Row],[group size5]],""))</f>
        <v>7.4074074074074472E-2</v>
      </c>
      <c r="AH22" s="32">
        <f>_xlfn.IFNA(VLOOKUP(Table2[[#This Row],[Name]],'Stableford - players'!$A$2:$B$65,2,FALSE),"")</f>
        <v>0.35416666666666669</v>
      </c>
      <c r="AI22" s="59">
        <f>IF(Table2[[#This Row],[tee time6]]&lt;&gt;"",COUNTIF('Stableford - players'!$B$2:$B$65,"="&amp;Table2[[#This Row],[tee time6]]),"")</f>
        <v>4</v>
      </c>
      <c r="AJ22" s="59">
        <f>_xlfn.IFNA(VLOOKUP(Table2[[#This Row],[tee time6]],'Stableford - groups'!$A$3:$F$20,6,FALSE),"")</f>
        <v>48</v>
      </c>
      <c r="AK22" s="11">
        <f>_xlfn.IFNA(VLOOKUP(Table2[[#This Row],[tee time6]],'Stableford - groups'!$A$3:$F$20,4,FALSE),"")</f>
        <v>0.16666666666666669</v>
      </c>
      <c r="AL22" s="13">
        <f>_xlfn.IFNA(VLOOKUP(Table2[[#This Row],[tee time6]],'Stableford - groups'!$A$3:$F$20,5,FALSE),"")</f>
        <v>3.4722222222223209E-3</v>
      </c>
      <c r="AM22" s="68">
        <f>IF(AND(Table2[[#This Row],[gap6]]="NA",Table2[[#This Row],[round6]]&lt;4/24),0,IFERROR((MAX(starting_interval,IF(Table2[[#This Row],[gap6]]="NA",Table2[[#This Row],[avg gap]],Table2[[#This Row],[gap6]]))-starting_interval)*Table2[[#This Row],[followers6]]/Table2[[#This Row],[group size6]],""))</f>
        <v>0</v>
      </c>
      <c r="AN22" s="32">
        <f>_xlfn.IFNA(VLOOKUP(Table2[[#This Row],[Name]],'Turkey Shoot - players'!$A$2:$B$65,2,FALSE),"")</f>
        <v>0.3888888888888889</v>
      </c>
      <c r="AO22" s="59">
        <f>IF(Table2[[#This Row],[tee time7]]&lt;&gt;"",COUNTIF('Turkey Shoot - players'!$B$2:$B$65,"="&amp;Table2[[#This Row],[tee time7]]),"")</f>
        <v>4</v>
      </c>
      <c r="AP22" s="59">
        <f>_xlfn.IFNA(VLOOKUP(Table2[[#This Row],[tee time7]],'Stableford - groups'!$A$3:$F$20,6,FALSE),"")</f>
        <v>28</v>
      </c>
      <c r="AQ22" s="11">
        <f>_xlfn.IFNA(VLOOKUP(Table2[[#This Row],[tee time7]],'Turkey Shoot - groups'!$A$3:$F$20,4,FALSE),"")</f>
        <v>0.1701388888888889</v>
      </c>
      <c r="AR22" s="13">
        <f>_xlfn.IFNA(VLOOKUP(Table2[[#This Row],[tee time7]],'Turkey Shoot - groups'!$A$3:$F$20,5,FALSE),"")</f>
        <v>4.1666666666666666E-3</v>
      </c>
      <c r="AS22" s="68">
        <f>IF(AND(Table2[[#This Row],[gap7]]="NA",Table2[[#This Row],[round7]]&lt;4/24),0,IFERROR((MAX(starting_interval,IF(Table2[[#This Row],[gap7]]="NA",Table2[[#This Row],[avg gap]],Table2[[#This Row],[gap7]]))-starting_interval)*Table2[[#This Row],[followers7]]/Table2[[#This Row],[group size7]],""))</f>
        <v>0</v>
      </c>
      <c r="AT22" s="72">
        <f>COUNT(Table2[[#This Row],[Tee time1]],Table2[[#This Row],[tee time2]],Table2[[#This Row],[tee time3]],Table2[[#This Row],[tee time4]],Table2[[#This Row],[tee time5]],Table2[[#This Row],[tee time6]],Table2[[#This Row],[tee time7]])</f>
        <v>6</v>
      </c>
      <c r="AU22" s="4">
        <f>IFERROR(AVERAGE(Table2[[#This Row],[Tee time1]],Table2[[#This Row],[tee time2]],Table2[[#This Row],[tee time3]],Table2[[#This Row],[tee time4]],Table2[[#This Row],[tee time5]],Table2[[#This Row],[tee time6]],Table2[[#This Row],[tee time7]]),"")</f>
        <v>0.36817129629629636</v>
      </c>
      <c r="AV22" s="11">
        <f>IFERROR(MEDIAN(Table2[[#This Row],[round1]],Table2[[#This Row],[Round2]],Table2[[#This Row],[round3]],Table2[[#This Row],[round4]],Table2[[#This Row],[round5]],Table2[[#This Row],[round6]],Table2[[#This Row],[round7]]),"")</f>
        <v>0.17222222222222222</v>
      </c>
      <c r="AW22" s="11">
        <f>IFERROR(AVERAGE(Table2[[#This Row],[gap1]],Table2[[#This Row],[gap2]],Table2[[#This Row],[gap3]],Table2[[#This Row],[gap4]],Table2[[#This Row],[gap5]],Table2[[#This Row],[gap6]],Table2[[#This Row],[gap7]]),"")</f>
        <v>6.9444444444444571E-3</v>
      </c>
      <c r="AX22" s="9">
        <f>IFERROR((Table2[[#This Row],[avg gap]]-starting_interval)*24*60*Table2[[#This Row],[Count]],"NA")</f>
        <v>1.124100812432971E-13</v>
      </c>
      <c r="AY2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0.10185185185185187</v>
      </c>
      <c r="AZ22" s="2"/>
    </row>
    <row r="23" spans="1:52" x14ac:dyDescent="0.3">
      <c r="A23" s="10" t="s">
        <v>59</v>
      </c>
      <c r="B23" s="1" t="s">
        <v>297</v>
      </c>
      <c r="C23" s="19">
        <v>7.5</v>
      </c>
      <c r="D23" s="32" t="str">
        <f>_xlfn.IFNA(VLOOKUP(Table2[[#This Row],[Name]],'Classic day 1 - players'!$A$2:$B$64,2,FALSE),"")</f>
        <v/>
      </c>
      <c r="E23" s="33" t="str">
        <f>IF(Table2[[#This Row],[Tee time1]]&lt;&gt;"",COUNTIF('Classic day 1 - players'!$B$2:$B$64,"="&amp;Table2[[#This Row],[Tee time1]]),"")</f>
        <v/>
      </c>
      <c r="F23" s="33" t="str">
        <f>_xlfn.IFNA(VLOOKUP(Table2[[#This Row],[Tee time1]],'Classic day 1 - groups'!$A$3:$F$20,6,FALSE),"")</f>
        <v/>
      </c>
      <c r="G23" s="11" t="str">
        <f>_xlfn.IFNA(VLOOKUP(Table2[[#This Row],[Tee time1]],'Classic day 1 - groups'!$A$3:$F$20,4,FALSE),"")</f>
        <v/>
      </c>
      <c r="H23" s="12" t="str">
        <f>_xlfn.IFNA(VLOOKUP(Table2[[#This Row],[Tee time1]],'Classic day 1 - groups'!$A$3:$F$20,5,FALSE),"")</f>
        <v/>
      </c>
      <c r="I23" s="69" t="str">
        <f>IFERROR((MAX(starting_interval,IF(Table2[[#This Row],[gap1]]="NA",Table2[[#This Row],[avg gap]],Table2[[#This Row],[gap1]]))-starting_interval)*Table2[[#This Row],[followers1]]/Table2[[#This Row],[group size]],"")</f>
        <v/>
      </c>
      <c r="J23" s="32" t="str">
        <f>_xlfn.IFNA(VLOOKUP(Table2[[#This Row],[Name]],'Classic day 2 - players'!$A$2:$B$64,2,FALSE),"")</f>
        <v/>
      </c>
      <c r="K23" s="33" t="str">
        <f>IF(Table2[[#This Row],[tee time2]]&lt;&gt;"",COUNTIF('Classic day 2 - players'!$B$2:$B$64,"="&amp;Table2[[#This Row],[tee time2]]),"")</f>
        <v/>
      </c>
      <c r="L23" s="33" t="str">
        <f>_xlfn.IFNA(VLOOKUP(Table2[[#This Row],[tee time2]],'Classic day 2 - groups'!$A$3:$F$20,6,FALSE),"")</f>
        <v/>
      </c>
      <c r="M23" s="4" t="str">
        <f>_xlfn.IFNA(VLOOKUP(Table2[[#This Row],[tee time2]],'Classic day 2 - groups'!$A$3:$F$20,4,FALSE),"")</f>
        <v/>
      </c>
      <c r="N23" s="65" t="str">
        <f>_xlfn.IFNA(VLOOKUP(Table2[[#This Row],[tee time2]],'Classic day 2 - groups'!$A$3:$F$20,5,FALSE),"")</f>
        <v/>
      </c>
      <c r="O23" s="69" t="str">
        <f>IFERROR((MAX(starting_interval,IF(Table2[[#This Row],[gap2]]="NA",Table2[[#This Row],[avg gap]],Table2[[#This Row],[gap2]]))-starting_interval)*Table2[[#This Row],[followers2]]/Table2[[#This Row],[group size2]],"")</f>
        <v/>
      </c>
      <c r="P23" s="32">
        <f>_xlfn.IFNA(VLOOKUP(Table2[[#This Row],[Name]],'Summer FD - players'!$A$2:$B$65,2,FALSE),"")</f>
        <v>0.38472222222222219</v>
      </c>
      <c r="Q23" s="59">
        <f>IF(Table2[[#This Row],[tee time3]]&lt;&gt;"",COUNTIF('Summer FD - players'!$B$2:$B$65,"="&amp;Table2[[#This Row],[tee time3]]),"")</f>
        <v>4</v>
      </c>
      <c r="R23" s="59">
        <f>_xlfn.IFNA(VLOOKUP(Table2[[#This Row],[tee time3]],'Summer FD - groups'!$A$3:$F$20,6,FALSE),"")</f>
        <v>32</v>
      </c>
      <c r="S23" s="4">
        <f>_xlfn.IFNA(VLOOKUP(Table2[[#This Row],[tee time3]],'Summer FD - groups'!$A$3:$F$20,4,FALSE),"")</f>
        <v>0.1972222222222223</v>
      </c>
      <c r="T23" s="13">
        <f>_xlfn.IFNA(VLOOKUP(Table2[[#This Row],[tee time3]],'Summer FD - groups'!$A$3:$F$20,5,FALSE),"")</f>
        <v>1.5972222222222276E-2</v>
      </c>
      <c r="U23" s="69">
        <f>IF(Table2[[#This Row],[avg gap]]&lt;&gt;"",IFERROR((MAX(starting_interval,IF(Table2[[#This Row],[gap3]]="NA",Table2[[#This Row],[avg gap]],Table2[[#This Row],[gap3]]))-starting_interval)*Table2[[#This Row],[followers3]]/Table2[[#This Row],[group size3]],""),"")</f>
        <v>7.222222222222266E-2</v>
      </c>
      <c r="V23" s="32">
        <f>_xlfn.IFNA(VLOOKUP(Table2[[#This Row],[Name]],'6-6-6 - players'!$A$2:$B$69,2,FALSE),"")</f>
        <v>0.375</v>
      </c>
      <c r="W23" s="59">
        <f>IF(Table2[[#This Row],[tee time4]]&lt;&gt;"",COUNTIF('6-6-6 - players'!$B$2:$B$69,"="&amp;Table2[[#This Row],[tee time4]]),"")</f>
        <v>4</v>
      </c>
      <c r="X23" s="59">
        <f>_xlfn.IFNA(VLOOKUP(Table2[[#This Row],[tee time4]],'6-6-6 - groups'!$A$3:$F$20,6,FALSE),"")</f>
        <v>44</v>
      </c>
      <c r="Y23" s="4">
        <f>_xlfn.IFNA(VLOOKUP(Table2[[#This Row],[tee time4]],'6-6-6 - groups'!$A$3:$F$20,4,FALSE),"")</f>
        <v>0.17638888888888898</v>
      </c>
      <c r="Z23" s="13">
        <f>_xlfn.IFNA(VLOOKUP(Table2[[#This Row],[tee time4]],'6-6-6 - groups'!$A$3:$F$20,5,FALSE),"")</f>
        <v>9.0277777777778567E-3</v>
      </c>
      <c r="AA23" s="69">
        <f>IF(Table2[[#This Row],[avg gap]]&lt;&gt;"",IFERROR((MAX(starting_interval,IF(Table2[[#This Row],[gap4]]="NA",Table2[[#This Row],[avg gap]],Table2[[#This Row],[gap4]]))-starting_interval)*Table2[[#This Row],[followers4]]/Table2[[#This Row],[group size4]],""),"")</f>
        <v>2.2916666666667539E-2</v>
      </c>
      <c r="AB23" s="32">
        <f>_xlfn.IFNA(VLOOKUP(Table2[[#This Row],[Name]],'Fall FD - players'!$A$2:$B$65,2,FALSE),"")</f>
        <v>0.36527777777777781</v>
      </c>
      <c r="AC23" s="59">
        <f>IF(Table2[[#This Row],[tee time5]]&lt;&gt;"",COUNTIF('Fall FD - players'!$B$2:$B$65,"="&amp;Table2[[#This Row],[tee time5]]),"")</f>
        <v>3</v>
      </c>
      <c r="AD23" s="59">
        <f>_xlfn.IFNA(VLOOKUP(Table2[[#This Row],[tee time5]],'Fall FD - groups'!$A$3:$F$20,6,FALSE),"")</f>
        <v>52</v>
      </c>
      <c r="AE23" s="4">
        <f>_xlfn.IFNA(VLOOKUP(Table2[[#This Row],[tee time5]],'Fall FD - groups'!$A$3:$F$20,4,FALSE),"")</f>
        <v>0.17152777777777778</v>
      </c>
      <c r="AF23" s="13">
        <f>IFERROR(MIN(_xlfn.IFNA(VLOOKUP(Table2[[#This Row],[tee time5]],'Fall FD - groups'!$A$3:$F$20,5,FALSE),""),starting_interval + Table2[[#This Row],[round5]] - standard_round_time),"")</f>
        <v>4.8611111111110938E-3</v>
      </c>
      <c r="AG23" s="69">
        <f>IF(AND(Table2[[#This Row],[gap5]]="NA",Table2[[#This Row],[round5]]&lt;4/24),0,IFERROR((MAX(starting_interval,IF(Table2[[#This Row],[gap5]]="NA",Table2[[#This Row],[avg gap]],Table2[[#This Row],[gap5]]))-starting_interval)*Table2[[#This Row],[followers5]]/Table2[[#This Row],[group size5]],""))</f>
        <v>0</v>
      </c>
      <c r="AH23" s="32">
        <f>_xlfn.IFNA(VLOOKUP(Table2[[#This Row],[Name]],'Stableford - players'!$A$2:$B$65,2,FALSE),"")</f>
        <v>0.34722222222222227</v>
      </c>
      <c r="AI23" s="59">
        <f>IF(Table2[[#This Row],[tee time6]]&lt;&gt;"",COUNTIF('Stableford - players'!$B$2:$B$65,"="&amp;Table2[[#This Row],[tee time6]]),"")</f>
        <v>4</v>
      </c>
      <c r="AJ23" s="59">
        <f>_xlfn.IFNA(VLOOKUP(Table2[[#This Row],[tee time6]],'Stableford - groups'!$A$3:$F$20,6,FALSE),"")</f>
        <v>52</v>
      </c>
      <c r="AK23" s="11">
        <f>_xlfn.IFNA(VLOOKUP(Table2[[#This Row],[tee time6]],'Stableford - groups'!$A$3:$F$20,4,FALSE),"")</f>
        <v>0.1694444444444444</v>
      </c>
      <c r="AL23" s="13">
        <f>_xlfn.IFNA(VLOOKUP(Table2[[#This Row],[tee time6]],'Stableford - groups'!$A$3:$F$20,5,FALSE),"")</f>
        <v>5.5555555555555358E-3</v>
      </c>
      <c r="AM23" s="68">
        <f>IF(AND(Table2[[#This Row],[gap6]]="NA",Table2[[#This Row],[round6]]&lt;4/24),0,IFERROR((MAX(starting_interval,IF(Table2[[#This Row],[gap6]]="NA",Table2[[#This Row],[avg gap]],Table2[[#This Row],[gap6]]))-starting_interval)*Table2[[#This Row],[followers6]]/Table2[[#This Row],[group size6]],""))</f>
        <v>0</v>
      </c>
      <c r="AN23" s="32">
        <f>_xlfn.IFNA(VLOOKUP(Table2[[#This Row],[Name]],'Turkey Shoot - players'!$A$2:$B$65,2,FALSE),"")</f>
        <v>0.375</v>
      </c>
      <c r="AO23" s="59">
        <f>IF(Table2[[#This Row],[tee time7]]&lt;&gt;"",COUNTIF('Turkey Shoot - players'!$B$2:$B$65,"="&amp;Table2[[#This Row],[tee time7]]),"")</f>
        <v>3</v>
      </c>
      <c r="AP23" s="59">
        <f>_xlfn.IFNA(VLOOKUP(Table2[[#This Row],[tee time7]],'Stableford - groups'!$A$3:$F$20,6,FALSE),"")</f>
        <v>36</v>
      </c>
      <c r="AQ23" s="11">
        <f>_xlfn.IFNA(VLOOKUP(Table2[[#This Row],[tee time7]],'Turkey Shoot - groups'!$A$3:$F$20,4,FALSE),"")</f>
        <v>0.16875000000000007</v>
      </c>
      <c r="AR23" s="13">
        <f>_xlfn.IFNA(VLOOKUP(Table2[[#This Row],[tee time7]],'Turkey Shoot - groups'!$A$3:$F$20,5,FALSE),"")</f>
        <v>4.1666666666666666E-3</v>
      </c>
      <c r="AS23" s="68">
        <f>IF(AND(Table2[[#This Row],[gap7]]="NA",Table2[[#This Row],[round7]]&lt;4/24),0,IFERROR((MAX(starting_interval,IF(Table2[[#This Row],[gap7]]="NA",Table2[[#This Row],[avg gap]],Table2[[#This Row],[gap7]]))-starting_interval)*Table2[[#This Row],[followers7]]/Table2[[#This Row],[group size7]],""))</f>
        <v>0</v>
      </c>
      <c r="AT23" s="72">
        <f>COUNT(Table2[[#This Row],[Tee time1]],Table2[[#This Row],[tee time2]],Table2[[#This Row],[tee time3]],Table2[[#This Row],[tee time4]],Table2[[#This Row],[tee time5]],Table2[[#This Row],[tee time6]],Table2[[#This Row],[tee time7]])</f>
        <v>5</v>
      </c>
      <c r="AU23" s="4">
        <f>IFERROR(AVERAGE(Table2[[#This Row],[Tee time1]],Table2[[#This Row],[tee time2]],Table2[[#This Row],[tee time3]],Table2[[#This Row],[tee time4]],Table2[[#This Row],[tee time5]],Table2[[#This Row],[tee time6]],Table2[[#This Row],[tee time7]]),"")</f>
        <v>0.36944444444444446</v>
      </c>
      <c r="AV23" s="11">
        <f>IFERROR(MEDIAN(Table2[[#This Row],[round1]],Table2[[#This Row],[Round2]],Table2[[#This Row],[round3]],Table2[[#This Row],[round4]],Table2[[#This Row],[round5]],Table2[[#This Row],[round6]],Table2[[#This Row],[round7]]),"")</f>
        <v>0.17152777777777778</v>
      </c>
      <c r="AW23" s="11">
        <f>IFERROR(AVERAGE(Table2[[#This Row],[gap1]],Table2[[#This Row],[gap2]],Table2[[#This Row],[gap3]],Table2[[#This Row],[gap4]],Table2[[#This Row],[gap5]],Table2[[#This Row],[gap6]],Table2[[#This Row],[gap7]]),"")</f>
        <v>7.9166666666666864E-3</v>
      </c>
      <c r="AX23" s="9">
        <f>IFERROR((Table2[[#This Row],[avg gap]]-starting_interval)*24*60*Table2[[#This Row],[Count]],"NA")</f>
        <v>7.0000000000001448</v>
      </c>
      <c r="AY2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9.5138888888890202E-2</v>
      </c>
      <c r="AZ23" s="2" t="s">
        <v>487</v>
      </c>
    </row>
    <row r="24" spans="1:52" x14ac:dyDescent="0.3">
      <c r="A24" s="10" t="s">
        <v>48</v>
      </c>
      <c r="B24" s="1" t="s">
        <v>286</v>
      </c>
      <c r="C24" s="19">
        <v>16.3</v>
      </c>
      <c r="D24" s="32" t="str">
        <f>_xlfn.IFNA(VLOOKUP(Table2[[#This Row],[Name]],'Classic day 1 - players'!$A$2:$B$64,2,FALSE),"")</f>
        <v/>
      </c>
      <c r="E24" s="33" t="str">
        <f>IF(Table2[[#This Row],[Tee time1]]&lt;&gt;"",COUNTIF('Classic day 1 - players'!$B$2:$B$64,"="&amp;Table2[[#This Row],[Tee time1]]),"")</f>
        <v/>
      </c>
      <c r="F24" s="33" t="str">
        <f>_xlfn.IFNA(VLOOKUP(Table2[[#This Row],[Tee time1]],'Classic day 1 - groups'!$A$3:$F$20,6,FALSE),"")</f>
        <v/>
      </c>
      <c r="G24" s="11" t="str">
        <f>_xlfn.IFNA(VLOOKUP(Table2[[#This Row],[Tee time1]],'Classic day 1 - groups'!$A$3:$F$20,4,FALSE),"")</f>
        <v/>
      </c>
      <c r="H24" s="12" t="str">
        <f>_xlfn.IFNA(VLOOKUP(Table2[[#This Row],[Tee time1]],'Classic day 1 - groups'!$A$3:$F$20,5,FALSE),"")</f>
        <v/>
      </c>
      <c r="I24" s="69" t="str">
        <f>IFERROR((MAX(starting_interval,IF(Table2[[#This Row],[gap1]]="NA",Table2[[#This Row],[avg gap]],Table2[[#This Row],[gap1]]))-starting_interval)*Table2[[#This Row],[followers1]]/Table2[[#This Row],[group size]],"")</f>
        <v/>
      </c>
      <c r="J24" s="32" t="str">
        <f>_xlfn.IFNA(VLOOKUP(Table2[[#This Row],[Name]],'Classic day 2 - players'!$A$2:$B$64,2,FALSE),"")</f>
        <v/>
      </c>
      <c r="K24" s="33" t="str">
        <f>IF(Table2[[#This Row],[tee time2]]&lt;&gt;"",COUNTIF('Classic day 2 - players'!$B$2:$B$64,"="&amp;Table2[[#This Row],[tee time2]]),"")</f>
        <v/>
      </c>
      <c r="L24" s="33" t="str">
        <f>_xlfn.IFNA(VLOOKUP(Table2[[#This Row],[tee time2]],'Classic day 2 - groups'!$A$3:$F$20,6,FALSE),"")</f>
        <v/>
      </c>
      <c r="M24" s="4" t="str">
        <f>_xlfn.IFNA(VLOOKUP(Table2[[#This Row],[tee time2]],'Classic day 2 - groups'!$A$3:$F$20,4,FALSE),"")</f>
        <v/>
      </c>
      <c r="N24" s="65" t="str">
        <f>_xlfn.IFNA(VLOOKUP(Table2[[#This Row],[tee time2]],'Classic day 2 - groups'!$A$3:$F$20,5,FALSE),"")</f>
        <v/>
      </c>
      <c r="O24" s="69" t="str">
        <f>IFERROR((MAX(starting_interval,IF(Table2[[#This Row],[gap2]]="NA",Table2[[#This Row],[avg gap]],Table2[[#This Row],[gap2]]))-starting_interval)*Table2[[#This Row],[followers2]]/Table2[[#This Row],[group size2]],"")</f>
        <v/>
      </c>
      <c r="P24" s="32">
        <f>_xlfn.IFNA(VLOOKUP(Table2[[#This Row],[Name]],'Summer FD - players'!$A$2:$B$65,2,FALSE),"")</f>
        <v>0.44027777777777777</v>
      </c>
      <c r="Q24" s="59">
        <f>IF(Table2[[#This Row],[tee time3]]&lt;&gt;"",COUNTIF('Summer FD - players'!$B$2:$B$65,"="&amp;Table2[[#This Row],[tee time3]]),"")</f>
        <v>3</v>
      </c>
      <c r="R24" s="59">
        <f>_xlfn.IFNA(VLOOKUP(Table2[[#This Row],[tee time3]],'Summer FD - groups'!$A$3:$F$20,6,FALSE),"")</f>
        <v>0</v>
      </c>
      <c r="S24" s="4">
        <f>_xlfn.IFNA(VLOOKUP(Table2[[#This Row],[tee time3]],'Summer FD - groups'!$A$3:$F$20,4,FALSE),"")</f>
        <v>0.19444444444444436</v>
      </c>
      <c r="T24" s="13">
        <f>_xlfn.IFNA(VLOOKUP(Table2[[#This Row],[tee time3]],'Summer FD - groups'!$A$3:$F$20,5,FALSE),"")</f>
        <v>9.0277777777777457E-3</v>
      </c>
      <c r="U24" s="69">
        <f>IF(Table2[[#This Row],[avg gap]]&lt;&gt;"",IFERROR((MAX(starting_interval,IF(Table2[[#This Row],[gap3]]="NA",Table2[[#This Row],[avg gap]],Table2[[#This Row],[gap3]]))-starting_interval)*Table2[[#This Row],[followers3]]/Table2[[#This Row],[group size3]],""),"")</f>
        <v>0</v>
      </c>
      <c r="V24" s="32">
        <f>_xlfn.IFNA(VLOOKUP(Table2[[#This Row],[Name]],'6-6-6 - players'!$A$2:$B$69,2,FALSE),"")</f>
        <v>0.34027777777777773</v>
      </c>
      <c r="W24" s="59">
        <f>IF(Table2[[#This Row],[tee time4]]&lt;&gt;"",COUNTIF('6-6-6 - players'!$B$2:$B$69,"="&amp;Table2[[#This Row],[tee time4]]),"")</f>
        <v>4</v>
      </c>
      <c r="X24" s="59">
        <f>_xlfn.IFNA(VLOOKUP(Table2[[#This Row],[tee time4]],'6-6-6 - groups'!$A$3:$F$20,6,FALSE),"")</f>
        <v>64</v>
      </c>
      <c r="Y24" s="4">
        <f>_xlfn.IFNA(VLOOKUP(Table2[[#This Row],[tee time4]],'6-6-6 - groups'!$A$3:$F$20,4,FALSE),"")</f>
        <v>0.17569444444444443</v>
      </c>
      <c r="Z24" s="13">
        <f>_xlfn.IFNA(VLOOKUP(Table2[[#This Row],[tee time4]],'6-6-6 - groups'!$A$3:$F$20,5,FALSE),"")</f>
        <v>6.9444444444444198E-3</v>
      </c>
      <c r="AA24" s="69">
        <f>IF(Table2[[#This Row],[avg gap]]&lt;&gt;"",IFERROR((MAX(starting_interval,IF(Table2[[#This Row],[gap4]]="NA",Table2[[#This Row],[avg gap]],Table2[[#This Row],[gap4]]))-starting_interval)*Table2[[#This Row],[followers4]]/Table2[[#This Row],[group size4]],""),"")</f>
        <v>0</v>
      </c>
      <c r="AB24" s="32">
        <f>_xlfn.IFNA(VLOOKUP(Table2[[#This Row],[Name]],'Fall FD - players'!$A$2:$B$65,2,FALSE),"")</f>
        <v>0.37916666666666665</v>
      </c>
      <c r="AC24" s="59">
        <f>IF(Table2[[#This Row],[tee time5]]&lt;&gt;"",COUNTIF('Fall FD - players'!$B$2:$B$65,"="&amp;Table2[[#This Row],[tee time5]]),"")</f>
        <v>4</v>
      </c>
      <c r="AD24" s="59">
        <f>_xlfn.IFNA(VLOOKUP(Table2[[#This Row],[tee time5]],'Fall FD - groups'!$A$3:$F$20,6,FALSE),"")</f>
        <v>44</v>
      </c>
      <c r="AE24" s="4">
        <f>_xlfn.IFNA(VLOOKUP(Table2[[#This Row],[tee time5]],'Fall FD - groups'!$A$3:$F$20,4,FALSE),"")</f>
        <v>0.18124999999999997</v>
      </c>
      <c r="AF24" s="13">
        <f>IFERROR(MIN(_xlfn.IFNA(VLOOKUP(Table2[[#This Row],[tee time5]],'Fall FD - groups'!$A$3:$F$20,5,FALSE),""),starting_interval + Table2[[#This Row],[round5]] - standard_round_time),"")</f>
        <v>1.4583333333333282E-2</v>
      </c>
      <c r="AG24" s="69">
        <f>IF(AND(Table2[[#This Row],[gap5]]="NA",Table2[[#This Row],[round5]]&lt;4/24),0,IFERROR((MAX(starting_interval,IF(Table2[[#This Row],[gap5]]="NA",Table2[[#This Row],[avg gap]],Table2[[#This Row],[gap5]]))-starting_interval)*Table2[[#This Row],[followers5]]/Table2[[#This Row],[group size5]],""))</f>
        <v>8.4027777777777216E-2</v>
      </c>
      <c r="AH24" s="32" t="str">
        <f>_xlfn.IFNA(VLOOKUP(Table2[[#This Row],[Name]],'Stableford - players'!$A$2:$B$65,2,FALSE),"")</f>
        <v/>
      </c>
      <c r="AI24" s="59" t="str">
        <f>IF(Table2[[#This Row],[tee time6]]&lt;&gt;"",COUNTIF('Stableford - players'!$B$2:$B$65,"="&amp;Table2[[#This Row],[tee time6]]),"")</f>
        <v/>
      </c>
      <c r="AJ24" s="59" t="str">
        <f>_xlfn.IFNA(VLOOKUP(Table2[[#This Row],[tee time6]],'Stableford - groups'!$A$3:$F$20,6,FALSE),"")</f>
        <v/>
      </c>
      <c r="AK24" s="11" t="str">
        <f>_xlfn.IFNA(VLOOKUP(Table2[[#This Row],[tee time6]],'Stableford - groups'!$A$3:$F$20,4,FALSE),"")</f>
        <v/>
      </c>
      <c r="AL24" s="13" t="str">
        <f>_xlfn.IFNA(VLOOKUP(Table2[[#This Row],[tee time6]],'Stableford - groups'!$A$3:$F$20,5,FALSE),"")</f>
        <v/>
      </c>
      <c r="AM24" s="68" t="str">
        <f>IF(AND(Table2[[#This Row],[gap6]]="NA",Table2[[#This Row],[round6]]&lt;4/24),0,IFERROR((MAX(starting_interval,IF(Table2[[#This Row],[gap6]]="NA",Table2[[#This Row],[avg gap]],Table2[[#This Row],[gap6]]))-starting_interval)*Table2[[#This Row],[followers6]]/Table2[[#This Row],[group size6]],""))</f>
        <v/>
      </c>
      <c r="AN24" s="32" t="str">
        <f>_xlfn.IFNA(VLOOKUP(Table2[[#This Row],[Name]],'Turkey Shoot - players'!$A$2:$B$65,2,FALSE),"")</f>
        <v/>
      </c>
      <c r="AO24" s="59" t="str">
        <f>IF(Table2[[#This Row],[tee time7]]&lt;&gt;"",COUNTIF('Turkey Shoot - players'!$B$2:$B$65,"="&amp;Table2[[#This Row],[tee time7]]),"")</f>
        <v/>
      </c>
      <c r="AP24" s="59" t="str">
        <f>_xlfn.IFNA(VLOOKUP(Table2[[#This Row],[tee time7]],'Stableford - groups'!$A$3:$F$20,6,FALSE),"")</f>
        <v/>
      </c>
      <c r="AQ24" s="11" t="str">
        <f>_xlfn.IFNA(VLOOKUP(Table2[[#This Row],[tee time7]],'Turkey Shoot - groups'!$A$3:$F$20,4,FALSE),"")</f>
        <v/>
      </c>
      <c r="AR24" s="13" t="str">
        <f>_xlfn.IFNA(VLOOKUP(Table2[[#This Row],[tee time7]],'Turkey Shoot - groups'!$A$3:$F$20,5,FALSE),"")</f>
        <v/>
      </c>
      <c r="AS24" s="68" t="str">
        <f>IF(AND(Table2[[#This Row],[gap7]]="NA",Table2[[#This Row],[round7]]&lt;4/24),0,IFERROR((MAX(starting_interval,IF(Table2[[#This Row],[gap7]]="NA",Table2[[#This Row],[avg gap]],Table2[[#This Row],[gap7]]))-starting_interval)*Table2[[#This Row],[followers7]]/Table2[[#This Row],[group size7]],""))</f>
        <v/>
      </c>
      <c r="AT24" s="72">
        <f>COUNT(Table2[[#This Row],[Tee time1]],Table2[[#This Row],[tee time2]],Table2[[#This Row],[tee time3]],Table2[[#This Row],[tee time4]],Table2[[#This Row],[tee time5]],Table2[[#This Row],[tee time6]],Table2[[#This Row],[tee time7]])</f>
        <v>3</v>
      </c>
      <c r="AU24" s="4">
        <f>IFERROR(AVERAGE(Table2[[#This Row],[Tee time1]],Table2[[#This Row],[tee time2]],Table2[[#This Row],[tee time3]],Table2[[#This Row],[tee time4]],Table2[[#This Row],[tee time5]],Table2[[#This Row],[tee time6]],Table2[[#This Row],[tee time7]]),"")</f>
        <v>0.38657407407407401</v>
      </c>
      <c r="AV24" s="11">
        <f>IFERROR(MEDIAN(Table2[[#This Row],[round1]],Table2[[#This Row],[Round2]],Table2[[#This Row],[round3]],Table2[[#This Row],[round4]],Table2[[#This Row],[round5]],Table2[[#This Row],[round6]],Table2[[#This Row],[round7]]),"")</f>
        <v>0.18124999999999997</v>
      </c>
      <c r="AW24" s="11">
        <f>IFERROR(AVERAGE(Table2[[#This Row],[gap1]],Table2[[#This Row],[gap2]],Table2[[#This Row],[gap3]],Table2[[#This Row],[gap4]],Table2[[#This Row],[gap5]],Table2[[#This Row],[gap6]],Table2[[#This Row],[gap7]]),"")</f>
        <v>1.018518518518515E-2</v>
      </c>
      <c r="AX24" s="9">
        <f>IFERROR((Table2[[#This Row],[avg gap]]-starting_interval)*24*60*Table2[[#This Row],[Count]],"NA")</f>
        <v>13.999999999999849</v>
      </c>
      <c r="AY2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8.4027777777777216E-2</v>
      </c>
      <c r="AZ24" s="2"/>
    </row>
    <row r="25" spans="1:52" x14ac:dyDescent="0.3">
      <c r="A25" s="10" t="s">
        <v>61</v>
      </c>
      <c r="B25" s="1" t="s">
        <v>299</v>
      </c>
      <c r="C25" s="19">
        <v>20.2</v>
      </c>
      <c r="D25" s="32">
        <f>_xlfn.IFNA(VLOOKUP(Table2[[#This Row],[Name]],'Classic day 1 - players'!$A$2:$B$64,2,FALSE),"")</f>
        <v>0.34583333333333338</v>
      </c>
      <c r="E25" s="33">
        <f>IF(Table2[[#This Row],[Tee time1]]&lt;&gt;"",COUNTIF('Classic day 1 - players'!$B$2:$B$64,"="&amp;Table2[[#This Row],[Tee time1]]),"")</f>
        <v>4</v>
      </c>
      <c r="F25" s="33">
        <f>_xlfn.IFNA(VLOOKUP(Table2[[#This Row],[Tee time1]],'Classic day 1 - groups'!$A$3:$F$20,6,FALSE),"")</f>
        <v>60</v>
      </c>
      <c r="G25" s="11">
        <f>_xlfn.IFNA(VLOOKUP(Table2[[#This Row],[Tee time1]],'Classic day 1 - groups'!$A$3:$F$20,4,FALSE),"")</f>
        <v>0.20000000000000007</v>
      </c>
      <c r="H25" s="12">
        <f>_xlfn.IFNA(VLOOKUP(Table2[[#This Row],[Tee time1]],'Classic day 1 - groups'!$A$3:$F$20,5,FALSE),"")</f>
        <v>7.6388888888889728E-3</v>
      </c>
      <c r="I25" s="69">
        <f>IFERROR((MAX(starting_interval,IF(Table2[[#This Row],[gap1]]="NA",Table2[[#This Row],[avg gap]],Table2[[#This Row],[gap1]]))-starting_interval)*Table2[[#This Row],[followers1]]/Table2[[#This Row],[group size]],"")</f>
        <v>1.0416666666667931E-2</v>
      </c>
      <c r="J25" s="32">
        <f>_xlfn.IFNA(VLOOKUP(Table2[[#This Row],[Name]],'Classic day 2 - players'!$A$2:$B$64,2,FALSE),"")</f>
        <v>0.3520833333333333</v>
      </c>
      <c r="K25" s="33">
        <f>IF(Table2[[#This Row],[tee time2]]&lt;&gt;"",COUNTIF('Classic day 2 - players'!$B$2:$B$64,"="&amp;Table2[[#This Row],[tee time2]]),"")</f>
        <v>4</v>
      </c>
      <c r="L25" s="33">
        <f>_xlfn.IFNA(VLOOKUP(Table2[[#This Row],[tee time2]],'Classic day 2 - groups'!$A$3:$F$20,6,FALSE),"")</f>
        <v>40</v>
      </c>
      <c r="M25" s="4">
        <f>_xlfn.IFNA(VLOOKUP(Table2[[#This Row],[tee time2]],'Classic day 2 - groups'!$A$3:$F$20,4,FALSE),"")</f>
        <v>0.18819444444444444</v>
      </c>
      <c r="N25" s="65">
        <f>_xlfn.IFNA(VLOOKUP(Table2[[#This Row],[tee time2]],'Classic day 2 - groups'!$A$3:$F$20,5,FALSE),"")</f>
        <v>8.3333333333333332E-3</v>
      </c>
      <c r="O25" s="69">
        <f>IFERROR((MAX(starting_interval,IF(Table2[[#This Row],[gap2]]="NA",Table2[[#This Row],[avg gap]],Table2[[#This Row],[gap2]]))-starting_interval)*Table2[[#This Row],[followers2]]/Table2[[#This Row],[group size2]],"")</f>
        <v>1.3888888888888892E-2</v>
      </c>
      <c r="P25" s="32" t="str">
        <f>_xlfn.IFNA(VLOOKUP(Table2[[#This Row],[Name]],'Summer FD - players'!$A$2:$B$65,2,FALSE),"")</f>
        <v/>
      </c>
      <c r="Q25" s="59" t="str">
        <f>IF(Table2[[#This Row],[tee time3]]&lt;&gt;"",COUNTIF('Summer FD - players'!$B$2:$B$65,"="&amp;Table2[[#This Row],[tee time3]]),"")</f>
        <v/>
      </c>
      <c r="R25" s="59" t="str">
        <f>_xlfn.IFNA(VLOOKUP(Table2[[#This Row],[tee time3]],'Summer FD - groups'!$A$3:$F$20,6,FALSE),"")</f>
        <v/>
      </c>
      <c r="S25" s="4" t="str">
        <f>_xlfn.IFNA(VLOOKUP(Table2[[#This Row],[tee time3]],'Summer FD - groups'!$A$3:$F$20,4,FALSE),"")</f>
        <v/>
      </c>
      <c r="T25" s="13" t="str">
        <f>_xlfn.IFNA(VLOOKUP(Table2[[#This Row],[tee time3]],'Summer FD - groups'!$A$3:$F$20,5,FALSE),"")</f>
        <v/>
      </c>
      <c r="U25" s="69" t="str">
        <f>IF(Table2[[#This Row],[avg gap]]&lt;&gt;"",IFERROR((MAX(starting_interval,IF(Table2[[#This Row],[gap3]]="NA",Table2[[#This Row],[avg gap]],Table2[[#This Row],[gap3]]))-starting_interval)*Table2[[#This Row],[followers3]]/Table2[[#This Row],[group size3]],""),"")</f>
        <v/>
      </c>
      <c r="V25" s="32" t="str">
        <f>_xlfn.IFNA(VLOOKUP(Table2[[#This Row],[Name]],'6-6-6 - players'!$A$2:$B$69,2,FALSE),"")</f>
        <v/>
      </c>
      <c r="W25" s="59" t="str">
        <f>IF(Table2[[#This Row],[tee time4]]&lt;&gt;"",COUNTIF('6-6-6 - players'!$B$2:$B$69,"="&amp;Table2[[#This Row],[tee time4]]),"")</f>
        <v/>
      </c>
      <c r="X25" s="59" t="str">
        <f>_xlfn.IFNA(VLOOKUP(Table2[[#This Row],[tee time4]],'6-6-6 - groups'!$A$3:$F$20,6,FALSE),"")</f>
        <v/>
      </c>
      <c r="Y25" s="4" t="str">
        <f>_xlfn.IFNA(VLOOKUP(Table2[[#This Row],[tee time4]],'6-6-6 - groups'!$A$3:$F$20,4,FALSE),"")</f>
        <v/>
      </c>
      <c r="Z25" s="13" t="str">
        <f>_xlfn.IFNA(VLOOKUP(Table2[[#This Row],[tee time4]],'6-6-6 - groups'!$A$3:$F$20,5,FALSE),"")</f>
        <v/>
      </c>
      <c r="AA25" s="69" t="str">
        <f>IF(Table2[[#This Row],[avg gap]]&lt;&gt;"",IFERROR((MAX(starting_interval,IF(Table2[[#This Row],[gap4]]="NA",Table2[[#This Row],[avg gap]],Table2[[#This Row],[gap4]]))-starting_interval)*Table2[[#This Row],[followers4]]/Table2[[#This Row],[group size4]],""),"")</f>
        <v/>
      </c>
      <c r="AB25" s="32">
        <f>_xlfn.IFNA(VLOOKUP(Table2[[#This Row],[Name]],'Fall FD - players'!$A$2:$B$65,2,FALSE),"")</f>
        <v>0.37222222222222223</v>
      </c>
      <c r="AC25" s="59">
        <f>IF(Table2[[#This Row],[tee time5]]&lt;&gt;"",COUNTIF('Fall FD - players'!$B$2:$B$65,"="&amp;Table2[[#This Row],[tee time5]]),"")</f>
        <v>3</v>
      </c>
      <c r="AD25" s="59">
        <f>_xlfn.IFNA(VLOOKUP(Table2[[#This Row],[tee time5]],'Fall FD - groups'!$A$3:$F$20,6,FALSE),"")</f>
        <v>48</v>
      </c>
      <c r="AE25" s="4">
        <f>_xlfn.IFNA(VLOOKUP(Table2[[#This Row],[tee time5]],'Fall FD - groups'!$A$3:$F$20,4,FALSE),"")</f>
        <v>0.17291666666666672</v>
      </c>
      <c r="AF25" s="13">
        <f>IFERROR(MIN(_xlfn.IFNA(VLOOKUP(Table2[[#This Row],[tee time5]],'Fall FD - groups'!$A$3:$F$20,5,FALSE),""),starting_interval + Table2[[#This Row],[round5]] - standard_round_time),"")</f>
        <v>1.0416666666666741E-2</v>
      </c>
      <c r="AG25" s="69">
        <f>IF(AND(Table2[[#This Row],[gap5]]="NA",Table2[[#This Row],[round5]]&lt;4/24),0,IFERROR((MAX(starting_interval,IF(Table2[[#This Row],[gap5]]="NA",Table2[[#This Row],[avg gap]],Table2[[#This Row],[gap5]]))-starting_interval)*Table2[[#This Row],[followers5]]/Table2[[#This Row],[group size5]],""))</f>
        <v>5.5555555555556746E-2</v>
      </c>
      <c r="AH25" s="32" t="str">
        <f>_xlfn.IFNA(VLOOKUP(Table2[[#This Row],[Name]],'Stableford - players'!$A$2:$B$65,2,FALSE),"")</f>
        <v/>
      </c>
      <c r="AI25" s="59" t="str">
        <f>IF(Table2[[#This Row],[tee time6]]&lt;&gt;"",COUNTIF('Stableford - players'!$B$2:$B$65,"="&amp;Table2[[#This Row],[tee time6]]),"")</f>
        <v/>
      </c>
      <c r="AJ25" s="59" t="str">
        <f>_xlfn.IFNA(VLOOKUP(Table2[[#This Row],[tee time6]],'Stableford - groups'!$A$3:$F$20,6,FALSE),"")</f>
        <v/>
      </c>
      <c r="AK25" s="11" t="str">
        <f>_xlfn.IFNA(VLOOKUP(Table2[[#This Row],[tee time6]],'Stableford - groups'!$A$3:$F$20,4,FALSE),"")</f>
        <v/>
      </c>
      <c r="AL25" s="13" t="str">
        <f>_xlfn.IFNA(VLOOKUP(Table2[[#This Row],[tee time6]],'Stableford - groups'!$A$3:$F$20,5,FALSE),"")</f>
        <v/>
      </c>
      <c r="AM25" s="68" t="str">
        <f>IF(AND(Table2[[#This Row],[gap6]]="NA",Table2[[#This Row],[round6]]&lt;4/24),0,IFERROR((MAX(starting_interval,IF(Table2[[#This Row],[gap6]]="NA",Table2[[#This Row],[avg gap]],Table2[[#This Row],[gap6]]))-starting_interval)*Table2[[#This Row],[followers6]]/Table2[[#This Row],[group size6]],""))</f>
        <v/>
      </c>
      <c r="AN25" s="32" t="str">
        <f>_xlfn.IFNA(VLOOKUP(Table2[[#This Row],[Name]],'Turkey Shoot - players'!$A$2:$B$65,2,FALSE),"")</f>
        <v/>
      </c>
      <c r="AO25" s="59" t="str">
        <f>IF(Table2[[#This Row],[tee time7]]&lt;&gt;"",COUNTIF('Turkey Shoot - players'!$B$2:$B$65,"="&amp;Table2[[#This Row],[tee time7]]),"")</f>
        <v/>
      </c>
      <c r="AP25" s="59" t="str">
        <f>_xlfn.IFNA(VLOOKUP(Table2[[#This Row],[tee time7]],'Stableford - groups'!$A$3:$F$20,6,FALSE),"")</f>
        <v/>
      </c>
      <c r="AQ25" s="11" t="str">
        <f>_xlfn.IFNA(VLOOKUP(Table2[[#This Row],[tee time7]],'Turkey Shoot - groups'!$A$3:$F$20,4,FALSE),"")</f>
        <v/>
      </c>
      <c r="AR25" s="13" t="str">
        <f>_xlfn.IFNA(VLOOKUP(Table2[[#This Row],[tee time7]],'Turkey Shoot - groups'!$A$3:$F$20,5,FALSE),"")</f>
        <v/>
      </c>
      <c r="AS25" s="68" t="str">
        <f>IF(AND(Table2[[#This Row],[gap7]]="NA",Table2[[#This Row],[round7]]&lt;4/24),0,IFERROR((MAX(starting_interval,IF(Table2[[#This Row],[gap7]]="NA",Table2[[#This Row],[avg gap]],Table2[[#This Row],[gap7]]))-starting_interval)*Table2[[#This Row],[followers7]]/Table2[[#This Row],[group size7]],""))</f>
        <v/>
      </c>
      <c r="AT25" s="72">
        <f>COUNT(Table2[[#This Row],[Tee time1]],Table2[[#This Row],[tee time2]],Table2[[#This Row],[tee time3]],Table2[[#This Row],[tee time4]],Table2[[#This Row],[tee time5]],Table2[[#This Row],[tee time6]],Table2[[#This Row],[tee time7]])</f>
        <v>3</v>
      </c>
      <c r="AU25" s="4">
        <f>IFERROR(AVERAGE(Table2[[#This Row],[Tee time1]],Table2[[#This Row],[tee time2]],Table2[[#This Row],[tee time3]],Table2[[#This Row],[tee time4]],Table2[[#This Row],[tee time5]],Table2[[#This Row],[tee time6]],Table2[[#This Row],[tee time7]]),"")</f>
        <v>0.35671296296296301</v>
      </c>
      <c r="AV25" s="11">
        <f>IFERROR(MEDIAN(Table2[[#This Row],[round1]],Table2[[#This Row],[Round2]],Table2[[#This Row],[round3]],Table2[[#This Row],[round4]],Table2[[#This Row],[round5]],Table2[[#This Row],[round6]],Table2[[#This Row],[round7]]),"")</f>
        <v>0.18819444444444444</v>
      </c>
      <c r="AW25" s="11">
        <f>IFERROR(AVERAGE(Table2[[#This Row],[gap1]],Table2[[#This Row],[gap2]],Table2[[#This Row],[gap3]],Table2[[#This Row],[gap4]],Table2[[#This Row],[gap5]],Table2[[#This Row],[gap6]],Table2[[#This Row],[gap7]]),"")</f>
        <v>8.7962962962963489E-3</v>
      </c>
      <c r="AX25" s="9">
        <f>IFERROR((Table2[[#This Row],[avg gap]]-starting_interval)*24*60*Table2[[#This Row],[Count]],"NA")</f>
        <v>8.0000000000002292</v>
      </c>
      <c r="AY2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7.9861111111113575E-2</v>
      </c>
      <c r="AZ25" s="2"/>
    </row>
    <row r="26" spans="1:52" x14ac:dyDescent="0.3">
      <c r="A26" s="10" t="s">
        <v>6</v>
      </c>
      <c r="B26" s="1" t="s">
        <v>244</v>
      </c>
      <c r="C26" s="19">
        <v>17.100000000000001</v>
      </c>
      <c r="D26" s="32">
        <f>_xlfn.IFNA(VLOOKUP(Table2[[#This Row],[Name]],'Classic day 1 - players'!$A$2:$B$64,2,FALSE),"")</f>
        <v>0.39583333333333331</v>
      </c>
      <c r="E26" s="33">
        <f>IF(Table2[[#This Row],[Tee time1]]&lt;&gt;"",COUNTIF('Classic day 1 - players'!$B$2:$B$64,"="&amp;Table2[[#This Row],[Tee time1]]),"")</f>
        <v>4</v>
      </c>
      <c r="F26" s="33">
        <f>_xlfn.IFNA(VLOOKUP(Table2[[#This Row],[Tee time1]],'Classic day 1 - groups'!$A$3:$F$20,6,FALSE),"")</f>
        <v>28</v>
      </c>
      <c r="G26" s="11">
        <f>_xlfn.IFNA(VLOOKUP(Table2[[#This Row],[Tee time1]],'Classic day 1 - groups'!$A$3:$F$20,4,FALSE),"")</f>
        <v>0.20555555555555555</v>
      </c>
      <c r="H26" s="12">
        <f>_xlfn.IFNA(VLOOKUP(Table2[[#This Row],[Tee time1]],'Classic day 1 - groups'!$A$3:$F$20,5,FALSE),"")</f>
        <v>8.3333333333333037E-3</v>
      </c>
      <c r="I26" s="69">
        <f>IFERROR((MAX(starting_interval,IF(Table2[[#This Row],[gap1]]="NA",Table2[[#This Row],[avg gap]],Table2[[#This Row],[gap1]]))-starting_interval)*Table2[[#This Row],[followers1]]/Table2[[#This Row],[group size]],"")</f>
        <v>9.7222222222220177E-3</v>
      </c>
      <c r="J26" s="32">
        <f>_xlfn.IFNA(VLOOKUP(Table2[[#This Row],[Name]],'Classic day 2 - players'!$A$2:$B$64,2,FALSE),"")</f>
        <v>0.37708333333333338</v>
      </c>
      <c r="K26" s="33">
        <f>IF(Table2[[#This Row],[tee time2]]&lt;&gt;"",COUNTIF('Classic day 2 - players'!$B$2:$B$64,"="&amp;Table2[[#This Row],[tee time2]]),"")</f>
        <v>4</v>
      </c>
      <c r="L26" s="33">
        <f>_xlfn.IFNA(VLOOKUP(Table2[[#This Row],[tee time2]],'Classic day 2 - groups'!$A$3:$F$20,6,FALSE),"")</f>
        <v>24</v>
      </c>
      <c r="M26" s="4">
        <f>_xlfn.IFNA(VLOOKUP(Table2[[#This Row],[tee time2]],'Classic day 2 - groups'!$A$3:$F$20,4,FALSE),"")</f>
        <v>0.18819444444444444</v>
      </c>
      <c r="N26" s="65">
        <f>_xlfn.IFNA(VLOOKUP(Table2[[#This Row],[tee time2]],'Classic day 2 - groups'!$A$3:$F$20,5,FALSE),"")</f>
        <v>6.9444444444444441E-3</v>
      </c>
      <c r="O26" s="69">
        <f>IFERROR((MAX(starting_interval,IF(Table2[[#This Row],[gap2]]="NA",Table2[[#This Row],[avg gap]],Table2[[#This Row],[gap2]]))-starting_interval)*Table2[[#This Row],[followers2]]/Table2[[#This Row],[group size2]],"")</f>
        <v>0</v>
      </c>
      <c r="P26" s="32" t="str">
        <f>_xlfn.IFNA(VLOOKUP(Table2[[#This Row],[Name]],'Summer FD - players'!$A$2:$B$65,2,FALSE),"")</f>
        <v/>
      </c>
      <c r="Q26" s="59" t="str">
        <f>IF(Table2[[#This Row],[tee time3]]&lt;&gt;"",COUNTIF('Summer FD - players'!$B$2:$B$65,"="&amp;Table2[[#This Row],[tee time3]]),"")</f>
        <v/>
      </c>
      <c r="R26" s="59" t="str">
        <f>_xlfn.IFNA(VLOOKUP(Table2[[#This Row],[tee time3]],'Summer FD - groups'!$A$3:$F$20,6,FALSE),"")</f>
        <v/>
      </c>
      <c r="S26" s="4" t="str">
        <f>_xlfn.IFNA(VLOOKUP(Table2[[#This Row],[tee time3]],'Summer FD - groups'!$A$3:$F$20,4,FALSE),"")</f>
        <v/>
      </c>
      <c r="T26" s="13" t="str">
        <f>_xlfn.IFNA(VLOOKUP(Table2[[#This Row],[tee time3]],'Summer FD - groups'!$A$3:$F$20,5,FALSE),"")</f>
        <v/>
      </c>
      <c r="U26" s="69" t="str">
        <f>IF(Table2[[#This Row],[avg gap]]&lt;&gt;"",IFERROR((MAX(starting_interval,IF(Table2[[#This Row],[gap3]]="NA",Table2[[#This Row],[avg gap]],Table2[[#This Row],[gap3]]))-starting_interval)*Table2[[#This Row],[followers3]]/Table2[[#This Row],[group size3]],""),"")</f>
        <v/>
      </c>
      <c r="V26" s="32" t="str">
        <f>_xlfn.IFNA(VLOOKUP(Table2[[#This Row],[Name]],'6-6-6 - players'!$A$2:$B$69,2,FALSE),"")</f>
        <v/>
      </c>
      <c r="W26" s="59" t="str">
        <f>IF(Table2[[#This Row],[tee time4]]&lt;&gt;"",COUNTIF('6-6-6 - players'!$B$2:$B$69,"="&amp;Table2[[#This Row],[tee time4]]),"")</f>
        <v/>
      </c>
      <c r="X26" s="59" t="str">
        <f>_xlfn.IFNA(VLOOKUP(Table2[[#This Row],[tee time4]],'6-6-6 - groups'!$A$3:$F$20,6,FALSE),"")</f>
        <v/>
      </c>
      <c r="Y26" s="4" t="str">
        <f>_xlfn.IFNA(VLOOKUP(Table2[[#This Row],[tee time4]],'6-6-6 - groups'!$A$3:$F$20,4,FALSE),"")</f>
        <v/>
      </c>
      <c r="Z26" s="13" t="str">
        <f>_xlfn.IFNA(VLOOKUP(Table2[[#This Row],[tee time4]],'6-6-6 - groups'!$A$3:$F$20,5,FALSE),"")</f>
        <v/>
      </c>
      <c r="AA26" s="69" t="str">
        <f>IF(Table2[[#This Row],[avg gap]]&lt;&gt;"",IFERROR((MAX(starting_interval,IF(Table2[[#This Row],[gap4]]="NA",Table2[[#This Row],[avg gap]],Table2[[#This Row],[gap4]]))-starting_interval)*Table2[[#This Row],[followers4]]/Table2[[#This Row],[group size4]],""),"")</f>
        <v/>
      </c>
      <c r="AB26" s="32">
        <f>_xlfn.IFNA(VLOOKUP(Table2[[#This Row],[Name]],'Fall FD - players'!$A$2:$B$65,2,FALSE),"")</f>
        <v>0.35833333333333334</v>
      </c>
      <c r="AC26" s="59">
        <f>IF(Table2[[#This Row],[tee time5]]&lt;&gt;"",COUNTIF('Fall FD - players'!$B$2:$B$65,"="&amp;Table2[[#This Row],[tee time5]]),"")</f>
        <v>4</v>
      </c>
      <c r="AD26" s="59">
        <f>_xlfn.IFNA(VLOOKUP(Table2[[#This Row],[tee time5]],'Fall FD - groups'!$A$3:$F$20,6,FALSE),"")</f>
        <v>56</v>
      </c>
      <c r="AE26" s="4">
        <f>_xlfn.IFNA(VLOOKUP(Table2[[#This Row],[tee time5]],'Fall FD - groups'!$A$3:$F$20,4,FALSE),"")</f>
        <v>0.17638888888888893</v>
      </c>
      <c r="AF26" s="13">
        <f>IFERROR(MIN(_xlfn.IFNA(VLOOKUP(Table2[[#This Row],[tee time5]],'Fall FD - groups'!$A$3:$F$20,5,FALSE),""),starting_interval + Table2[[#This Row],[round5]] - standard_round_time),"")</f>
        <v>1.1111111111111183E-2</v>
      </c>
      <c r="AG26" s="69">
        <f>IF(AND(Table2[[#This Row],[gap5]]="NA",Table2[[#This Row],[round5]]&lt;4/24),0,IFERROR((MAX(starting_interval,IF(Table2[[#This Row],[gap5]]="NA",Table2[[#This Row],[avg gap]],Table2[[#This Row],[gap5]]))-starting_interval)*Table2[[#This Row],[followers5]]/Table2[[#This Row],[group size5]],""))</f>
        <v>5.833333333333434E-2</v>
      </c>
      <c r="AH26" s="32" t="str">
        <f>_xlfn.IFNA(VLOOKUP(Table2[[#This Row],[Name]],'Stableford - players'!$A$2:$B$65,2,FALSE),"")</f>
        <v/>
      </c>
      <c r="AI26" s="59" t="str">
        <f>IF(Table2[[#This Row],[tee time6]]&lt;&gt;"",COUNTIF('Stableford - players'!$B$2:$B$65,"="&amp;Table2[[#This Row],[tee time6]]),"")</f>
        <v/>
      </c>
      <c r="AJ26" s="59" t="str">
        <f>_xlfn.IFNA(VLOOKUP(Table2[[#This Row],[tee time6]],'Stableford - groups'!$A$3:$F$20,6,FALSE),"")</f>
        <v/>
      </c>
      <c r="AK26" s="11" t="str">
        <f>_xlfn.IFNA(VLOOKUP(Table2[[#This Row],[tee time6]],'Stableford - groups'!$A$3:$F$20,4,FALSE),"")</f>
        <v/>
      </c>
      <c r="AL26" s="13" t="str">
        <f>_xlfn.IFNA(VLOOKUP(Table2[[#This Row],[tee time6]],'Stableford - groups'!$A$3:$F$20,5,FALSE),"")</f>
        <v/>
      </c>
      <c r="AM26" s="68" t="str">
        <f>IF(AND(Table2[[#This Row],[gap6]]="NA",Table2[[#This Row],[round6]]&lt;4/24),0,IFERROR((MAX(starting_interval,IF(Table2[[#This Row],[gap6]]="NA",Table2[[#This Row],[avg gap]],Table2[[#This Row],[gap6]]))-starting_interval)*Table2[[#This Row],[followers6]]/Table2[[#This Row],[group size6]],""))</f>
        <v/>
      </c>
      <c r="AN26" s="32">
        <f>_xlfn.IFNA(VLOOKUP(Table2[[#This Row],[Name]],'Turkey Shoot - players'!$A$2:$B$65,2,FALSE),"")</f>
        <v>0.40972222222222227</v>
      </c>
      <c r="AO26" s="59">
        <f>IF(Table2[[#This Row],[tee time7]]&lt;&gt;"",COUNTIF('Turkey Shoot - players'!$B$2:$B$65,"="&amp;Table2[[#This Row],[tee time7]]),"")</f>
        <v>4</v>
      </c>
      <c r="AP26" s="59">
        <f>_xlfn.IFNA(VLOOKUP(Table2[[#This Row],[tee time7]],'Stableford - groups'!$A$3:$F$20,6,FALSE),"")</f>
        <v>16</v>
      </c>
      <c r="AQ26" s="11">
        <f>_xlfn.IFNA(VLOOKUP(Table2[[#This Row],[tee time7]],'Turkey Shoot - groups'!$A$3:$F$20,4,FALSE),"")</f>
        <v>0.17569444444444443</v>
      </c>
      <c r="AR26" s="13">
        <f>_xlfn.IFNA(VLOOKUP(Table2[[#This Row],[tee time7]],'Turkey Shoot - groups'!$A$3:$F$20,5,FALSE),"")</f>
        <v>9.7222222222222224E-3</v>
      </c>
      <c r="AS26" s="68">
        <f>IF(AND(Table2[[#This Row],[gap7]]="NA",Table2[[#This Row],[round7]]&lt;4/24),0,IFERROR((MAX(starting_interval,IF(Table2[[#This Row],[gap7]]="NA",Table2[[#This Row],[avg gap]],Table2[[#This Row],[gap7]]))-starting_interval)*Table2[[#This Row],[followers7]]/Table2[[#This Row],[group size7]],""))</f>
        <v>1.1111111111111113E-2</v>
      </c>
      <c r="AT26" s="72">
        <f>COUNT(Table2[[#This Row],[Tee time1]],Table2[[#This Row],[tee time2]],Table2[[#This Row],[tee time3]],Table2[[#This Row],[tee time4]],Table2[[#This Row],[tee time5]],Table2[[#This Row],[tee time6]],Table2[[#This Row],[tee time7]])</f>
        <v>4</v>
      </c>
      <c r="AU26" s="4">
        <f>IFERROR(AVERAGE(Table2[[#This Row],[Tee time1]],Table2[[#This Row],[tee time2]],Table2[[#This Row],[tee time3]],Table2[[#This Row],[tee time4]],Table2[[#This Row],[tee time5]],Table2[[#This Row],[tee time6]],Table2[[#This Row],[tee time7]]),"")</f>
        <v>0.3852430555555556</v>
      </c>
      <c r="AV26" s="11">
        <f>IFERROR(MEDIAN(Table2[[#This Row],[round1]],Table2[[#This Row],[Round2]],Table2[[#This Row],[round3]],Table2[[#This Row],[round4]],Table2[[#This Row],[round5]],Table2[[#This Row],[round6]],Table2[[#This Row],[round7]]),"")</f>
        <v>0.18229166666666669</v>
      </c>
      <c r="AW26" s="11">
        <f>IFERROR(AVERAGE(Table2[[#This Row],[gap1]],Table2[[#This Row],[gap2]],Table2[[#This Row],[gap3]],Table2[[#This Row],[gap4]],Table2[[#This Row],[gap5]],Table2[[#This Row],[gap6]],Table2[[#This Row],[gap7]]),"")</f>
        <v>9.0277777777777873E-3</v>
      </c>
      <c r="AX26" s="9">
        <f>IFERROR((Table2[[#This Row],[avg gap]]-starting_interval)*24*60*Table2[[#This Row],[Count]],"NA")</f>
        <v>12.000000000000057</v>
      </c>
      <c r="AY2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7.9166666666667468E-2</v>
      </c>
      <c r="AZ26" s="2"/>
    </row>
    <row r="27" spans="1:52" x14ac:dyDescent="0.3">
      <c r="A27" s="10" t="s">
        <v>202</v>
      </c>
      <c r="B27" s="1" t="s">
        <v>443</v>
      </c>
      <c r="C27" s="19">
        <v>7</v>
      </c>
      <c r="D27" s="32">
        <f>_xlfn.IFNA(VLOOKUP(Table2[[#This Row],[Name]],'Classic day 1 - players'!$A$2:$B$64,2,FALSE),"")</f>
        <v>0.37708333333333338</v>
      </c>
      <c r="E27" s="33">
        <f>IF(Table2[[#This Row],[Tee time1]]&lt;&gt;"",COUNTIF('Classic day 1 - players'!$B$2:$B$64,"="&amp;Table2[[#This Row],[Tee time1]]),"")</f>
        <v>4</v>
      </c>
      <c r="F27" s="33">
        <f>_xlfn.IFNA(VLOOKUP(Table2[[#This Row],[Tee time1]],'Classic day 1 - groups'!$A$3:$F$20,6,FALSE),"")</f>
        <v>40</v>
      </c>
      <c r="G27" s="11">
        <f>_xlfn.IFNA(VLOOKUP(Table2[[#This Row],[Tee time1]],'Classic day 1 - groups'!$A$3:$F$20,4,FALSE),"")</f>
        <v>0.19861111111111118</v>
      </c>
      <c r="H27" s="12">
        <f>_xlfn.IFNA(VLOOKUP(Table2[[#This Row],[Tee time1]],'Classic day 1 - groups'!$A$3:$F$20,5,FALSE),"")</f>
        <v>7.6388888888889728E-3</v>
      </c>
      <c r="I27" s="69">
        <f>IFERROR((MAX(starting_interval,IF(Table2[[#This Row],[gap1]]="NA",Table2[[#This Row],[avg gap]],Table2[[#This Row],[gap1]]))-starting_interval)*Table2[[#This Row],[followers1]]/Table2[[#This Row],[group size]],"")</f>
        <v>6.9444444444452871E-3</v>
      </c>
      <c r="J27" s="32">
        <f>_xlfn.IFNA(VLOOKUP(Table2[[#This Row],[Name]],'Classic day 2 - players'!$A$2:$B$64,2,FALSE),"")</f>
        <v>0.40208333333333335</v>
      </c>
      <c r="K27" s="33">
        <f>IF(Table2[[#This Row],[tee time2]]&lt;&gt;"",COUNTIF('Classic day 2 - players'!$B$2:$B$64,"="&amp;Table2[[#This Row],[tee time2]]),"")</f>
        <v>4</v>
      </c>
      <c r="L27" s="33">
        <f>_xlfn.IFNA(VLOOKUP(Table2[[#This Row],[tee time2]],'Classic day 2 - groups'!$A$3:$F$20,6,FALSE),"")</f>
        <v>8</v>
      </c>
      <c r="M27" s="4">
        <f>_xlfn.IFNA(VLOOKUP(Table2[[#This Row],[tee time2]],'Classic day 2 - groups'!$A$3:$F$20,4,FALSE),"")</f>
        <v>0.18958333333333333</v>
      </c>
      <c r="N27" s="65">
        <f>_xlfn.IFNA(VLOOKUP(Table2[[#This Row],[tee time2]],'Classic day 2 - groups'!$A$3:$F$20,5,FALSE),"")</f>
        <v>1.1805555555555555E-2</v>
      </c>
      <c r="O27" s="69">
        <f>IFERROR((MAX(starting_interval,IF(Table2[[#This Row],[gap2]]="NA",Table2[[#This Row],[avg gap]],Table2[[#This Row],[gap2]]))-starting_interval)*Table2[[#This Row],[followers2]]/Table2[[#This Row],[group size2]],"")</f>
        <v>9.7222222222222224E-3</v>
      </c>
      <c r="P27" s="32">
        <f>_xlfn.IFNA(VLOOKUP(Table2[[#This Row],[Name]],'Summer FD - players'!$A$2:$B$65,2,FALSE),"")</f>
        <v>0.32916666666666666</v>
      </c>
      <c r="Q27" s="59">
        <f>IF(Table2[[#This Row],[tee time3]]&lt;&gt;"",COUNTIF('Summer FD - players'!$B$2:$B$65,"="&amp;Table2[[#This Row],[tee time3]]),"")</f>
        <v>4</v>
      </c>
      <c r="R27" s="59">
        <f>_xlfn.IFNA(VLOOKUP(Table2[[#This Row],[tee time3]],'Summer FD - groups'!$A$3:$F$20,6,FALSE),"")</f>
        <v>64</v>
      </c>
      <c r="S27" s="4">
        <f>_xlfn.IFNA(VLOOKUP(Table2[[#This Row],[tee time3]],'Summer FD - groups'!$A$3:$F$20,4,FALSE),"")</f>
        <v>0.18333333333333329</v>
      </c>
      <c r="T27" s="13" t="str">
        <f>_xlfn.IFNA(VLOOKUP(Table2[[#This Row],[tee time3]],'Summer FD - groups'!$A$3:$F$20,5,FALSE),"")</f>
        <v>NA</v>
      </c>
      <c r="U27" s="69">
        <f>IF(Table2[[#This Row],[avg gap]]&lt;&gt;"",IFERROR((MAX(starting_interval,IF(Table2[[#This Row],[gap3]]="NA",Table2[[#This Row],[avg gap]],Table2[[#This Row],[gap3]]))-starting_interval)*Table2[[#This Row],[followers3]]/Table2[[#This Row],[group size3]],""),"")</f>
        <v>2.962962962962995E-2</v>
      </c>
      <c r="V27" s="32">
        <f>_xlfn.IFNA(VLOOKUP(Table2[[#This Row],[Name]],'6-6-6 - players'!$A$2:$B$69,2,FALSE),"")</f>
        <v>0.33333333333333331</v>
      </c>
      <c r="W27" s="59">
        <f>IF(Table2[[#This Row],[tee time4]]&lt;&gt;"",COUNTIF('6-6-6 - players'!$B$2:$B$69,"="&amp;Table2[[#This Row],[tee time4]]),"")</f>
        <v>4</v>
      </c>
      <c r="X27" s="59">
        <f>_xlfn.IFNA(VLOOKUP(Table2[[#This Row],[tee time4]],'6-6-6 - groups'!$A$3:$F$20,6,FALSE),"")</f>
        <v>68</v>
      </c>
      <c r="Y27" s="4">
        <f>_xlfn.IFNA(VLOOKUP(Table2[[#This Row],[tee time4]],'6-6-6 - groups'!$A$3:$F$20,4,FALSE),"")</f>
        <v>0.17569444444444443</v>
      </c>
      <c r="Z27" s="13" t="str">
        <f>_xlfn.IFNA(VLOOKUP(Table2[[#This Row],[tee time4]],'6-6-6 - groups'!$A$3:$F$20,5,FALSE),"")</f>
        <v>NA</v>
      </c>
      <c r="AA27" s="69">
        <f>IF(Table2[[#This Row],[avg gap]]&lt;&gt;"",IFERROR((MAX(starting_interval,IF(Table2[[#This Row],[gap4]]="NA",Table2[[#This Row],[avg gap]],Table2[[#This Row],[gap4]]))-starting_interval)*Table2[[#This Row],[followers4]]/Table2[[#This Row],[group size4]],""),"")</f>
        <v>3.1481481481481818E-2</v>
      </c>
      <c r="AB27" s="32">
        <f>_xlfn.IFNA(VLOOKUP(Table2[[#This Row],[Name]],'Fall FD - players'!$A$2:$B$65,2,FALSE),"")</f>
        <v>0.38611111111111113</v>
      </c>
      <c r="AC27" s="59">
        <f>IF(Table2[[#This Row],[tee time5]]&lt;&gt;"",COUNTIF('Fall FD - players'!$B$2:$B$65,"="&amp;Table2[[#This Row],[tee time5]]),"")</f>
        <v>4</v>
      </c>
      <c r="AD27" s="59">
        <f>_xlfn.IFNA(VLOOKUP(Table2[[#This Row],[tee time5]],'Fall FD - groups'!$A$3:$F$20,6,FALSE),"")</f>
        <v>40</v>
      </c>
      <c r="AE27" s="4">
        <f>_xlfn.IFNA(VLOOKUP(Table2[[#This Row],[tee time5]],'Fall FD - groups'!$A$3:$F$20,4,FALSE),"")</f>
        <v>0.18055555555555552</v>
      </c>
      <c r="AF27" s="13">
        <f>IFERROR(MIN(_xlfn.IFNA(VLOOKUP(Table2[[#This Row],[tee time5]],'Fall FD - groups'!$A$3:$F$20,5,FALSE),""),starting_interval + Table2[[#This Row],[round5]] - standard_round_time),"")</f>
        <v>6.9444444444444198E-3</v>
      </c>
      <c r="AG27" s="69">
        <f>IF(AND(Table2[[#This Row],[gap5]]="NA",Table2[[#This Row],[round5]]&lt;4/24),0,IFERROR((MAX(starting_interval,IF(Table2[[#This Row],[gap5]]="NA",Table2[[#This Row],[avg gap]],Table2[[#This Row],[gap5]]))-starting_interval)*Table2[[#This Row],[followers5]]/Table2[[#This Row],[group size5]],""))</f>
        <v>0</v>
      </c>
      <c r="AH27" s="32" t="str">
        <f>_xlfn.IFNA(VLOOKUP(Table2[[#This Row],[Name]],'Stableford - players'!$A$2:$B$65,2,FALSE),"")</f>
        <v/>
      </c>
      <c r="AI27" s="59" t="str">
        <f>IF(Table2[[#This Row],[tee time6]]&lt;&gt;"",COUNTIF('Stableford - players'!$B$2:$B$65,"="&amp;Table2[[#This Row],[tee time6]]),"")</f>
        <v/>
      </c>
      <c r="AJ27" s="59" t="str">
        <f>_xlfn.IFNA(VLOOKUP(Table2[[#This Row],[tee time6]],'Stableford - groups'!$A$3:$F$20,6,FALSE),"")</f>
        <v/>
      </c>
      <c r="AK27" s="11" t="str">
        <f>_xlfn.IFNA(VLOOKUP(Table2[[#This Row],[tee time6]],'Stableford - groups'!$A$3:$F$20,4,FALSE),"")</f>
        <v/>
      </c>
      <c r="AL27" s="13" t="str">
        <f>_xlfn.IFNA(VLOOKUP(Table2[[#This Row],[tee time6]],'Stableford - groups'!$A$3:$F$20,5,FALSE),"")</f>
        <v/>
      </c>
      <c r="AM27" s="68" t="str">
        <f>IF(AND(Table2[[#This Row],[gap6]]="NA",Table2[[#This Row],[round6]]&lt;4/24),0,IFERROR((MAX(starting_interval,IF(Table2[[#This Row],[gap6]]="NA",Table2[[#This Row],[avg gap]],Table2[[#This Row],[gap6]]))-starting_interval)*Table2[[#This Row],[followers6]]/Table2[[#This Row],[group size6]],""))</f>
        <v/>
      </c>
      <c r="AN27" s="32" t="str">
        <f>_xlfn.IFNA(VLOOKUP(Table2[[#This Row],[Name]],'Turkey Shoot - players'!$A$2:$B$65,2,FALSE),"")</f>
        <v/>
      </c>
      <c r="AO27" s="59" t="str">
        <f>IF(Table2[[#This Row],[tee time7]]&lt;&gt;"",COUNTIF('Turkey Shoot - players'!$B$2:$B$65,"="&amp;Table2[[#This Row],[tee time7]]),"")</f>
        <v/>
      </c>
      <c r="AP27" s="59" t="str">
        <f>_xlfn.IFNA(VLOOKUP(Table2[[#This Row],[tee time7]],'Stableford - groups'!$A$3:$F$20,6,FALSE),"")</f>
        <v/>
      </c>
      <c r="AQ27" s="11" t="str">
        <f>_xlfn.IFNA(VLOOKUP(Table2[[#This Row],[tee time7]],'Turkey Shoot - groups'!$A$3:$F$20,4,FALSE),"")</f>
        <v/>
      </c>
      <c r="AR27" s="13" t="str">
        <f>_xlfn.IFNA(VLOOKUP(Table2[[#This Row],[tee time7]],'Turkey Shoot - groups'!$A$3:$F$20,5,FALSE),"")</f>
        <v/>
      </c>
      <c r="AS27" s="68" t="str">
        <f>IF(AND(Table2[[#This Row],[gap7]]="NA",Table2[[#This Row],[round7]]&lt;4/24),0,IFERROR((MAX(starting_interval,IF(Table2[[#This Row],[gap7]]="NA",Table2[[#This Row],[avg gap]],Table2[[#This Row],[gap7]]))-starting_interval)*Table2[[#This Row],[followers7]]/Table2[[#This Row],[group size7]],""))</f>
        <v/>
      </c>
      <c r="AT27" s="72">
        <f>COUNT(Table2[[#This Row],[Tee time1]],Table2[[#This Row],[tee time2]],Table2[[#This Row],[tee time3]],Table2[[#This Row],[tee time4]],Table2[[#This Row],[tee time5]],Table2[[#This Row],[tee time6]],Table2[[#This Row],[tee time7]])</f>
        <v>5</v>
      </c>
      <c r="AU27" s="4">
        <f>IFERROR(AVERAGE(Table2[[#This Row],[Tee time1]],Table2[[#This Row],[tee time2]],Table2[[#This Row],[tee time3]],Table2[[#This Row],[tee time4]],Table2[[#This Row],[tee time5]],Table2[[#This Row],[tee time6]],Table2[[#This Row],[tee time7]]),"")</f>
        <v>0.36555555555555552</v>
      </c>
      <c r="AV27" s="12">
        <f>IFERROR(MEDIAN(Table2[[#This Row],[round1]],Table2[[#This Row],[Round2]],Table2[[#This Row],[round3]],Table2[[#This Row],[round4]],Table2[[#This Row],[round5]],Table2[[#This Row],[round6]],Table2[[#This Row],[round7]]),"")</f>
        <v>0.18333333333333329</v>
      </c>
      <c r="AW27" s="11">
        <f>IFERROR(AVERAGE(Table2[[#This Row],[gap1]],Table2[[#This Row],[gap2]],Table2[[#This Row],[gap3]],Table2[[#This Row],[gap4]],Table2[[#This Row],[gap5]],Table2[[#This Row],[gap6]],Table2[[#This Row],[gap7]]),"")</f>
        <v>8.7962962962963159E-3</v>
      </c>
      <c r="AX27" s="9">
        <f>IFERROR((Table2[[#This Row],[avg gap]]-starting_interval)*24*60*Table2[[#This Row],[Count]],"NA")</f>
        <v>13.333333333333478</v>
      </c>
      <c r="AY2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7.7777777777779278E-2</v>
      </c>
      <c r="AZ27" s="2"/>
    </row>
    <row r="28" spans="1:52" x14ac:dyDescent="0.3">
      <c r="A28" s="10" t="s">
        <v>136</v>
      </c>
      <c r="B28" s="1" t="s">
        <v>377</v>
      </c>
      <c r="C28" s="19">
        <v>7.3</v>
      </c>
      <c r="D28" s="32">
        <f>_xlfn.IFNA(VLOOKUP(Table2[[#This Row],[Name]],'Classic day 1 - players'!$A$2:$B$64,2,FALSE),"")</f>
        <v>0.38958333333333334</v>
      </c>
      <c r="E28" s="33">
        <f>IF(Table2[[#This Row],[Tee time1]]&lt;&gt;"",COUNTIF('Classic day 1 - players'!$B$2:$B$64,"="&amp;Table2[[#This Row],[Tee time1]]),"")</f>
        <v>3</v>
      </c>
      <c r="F28" s="33">
        <f>_xlfn.IFNA(VLOOKUP(Table2[[#This Row],[Tee time1]],'Classic day 1 - groups'!$A$3:$F$20,6,FALSE),"")</f>
        <v>32</v>
      </c>
      <c r="G28" s="11">
        <f>_xlfn.IFNA(VLOOKUP(Table2[[#This Row],[Tee time1]],'Classic day 1 - groups'!$A$3:$F$20,4,FALSE),"")</f>
        <v>0.20347222222222222</v>
      </c>
      <c r="H28" s="12">
        <f>_xlfn.IFNA(VLOOKUP(Table2[[#This Row],[Tee time1]],'Classic day 1 - groups'!$A$3:$F$20,5,FALSE),"")</f>
        <v>1.1111111111111072E-2</v>
      </c>
      <c r="I28" s="69">
        <f>IFERROR((MAX(starting_interval,IF(Table2[[#This Row],[gap1]]="NA",Table2[[#This Row],[avg gap]],Table2[[#This Row],[gap1]]))-starting_interval)*Table2[[#This Row],[followers1]]/Table2[[#This Row],[group size]],"")</f>
        <v>4.444444444444403E-2</v>
      </c>
      <c r="J28" s="32">
        <f>_xlfn.IFNA(VLOOKUP(Table2[[#This Row],[Name]],'Classic day 2 - players'!$A$2:$B$64,2,FALSE),"")</f>
        <v>0.39583333333333331</v>
      </c>
      <c r="K28" s="33">
        <f>IF(Table2[[#This Row],[tee time2]]&lt;&gt;"",COUNTIF('Classic day 2 - players'!$B$2:$B$64,"="&amp;Table2[[#This Row],[tee time2]]),"")</f>
        <v>4</v>
      </c>
      <c r="L28" s="33">
        <f>_xlfn.IFNA(VLOOKUP(Table2[[#This Row],[tee time2]],'Classic day 2 - groups'!$A$3:$F$20,6,FALSE),"")</f>
        <v>12</v>
      </c>
      <c r="M28" s="4">
        <f>_xlfn.IFNA(VLOOKUP(Table2[[#This Row],[tee time2]],'Classic day 2 - groups'!$A$3:$F$20,4,FALSE),"")</f>
        <v>0.18472222222222223</v>
      </c>
      <c r="N28" s="65">
        <f>_xlfn.IFNA(VLOOKUP(Table2[[#This Row],[tee time2]],'Classic day 2 - groups'!$A$3:$F$20,5,FALSE),"")</f>
        <v>4.8611111111111112E-3</v>
      </c>
      <c r="O28" s="69">
        <f>IFERROR((MAX(starting_interval,IF(Table2[[#This Row],[gap2]]="NA",Table2[[#This Row],[avg gap]],Table2[[#This Row],[gap2]]))-starting_interval)*Table2[[#This Row],[followers2]]/Table2[[#This Row],[group size2]],"")</f>
        <v>0</v>
      </c>
      <c r="P28" s="32">
        <f>_xlfn.IFNA(VLOOKUP(Table2[[#This Row],[Name]],'Summer FD - players'!$A$2:$B$65,2,FALSE),"")</f>
        <v>0.37083333333333335</v>
      </c>
      <c r="Q28" s="59">
        <f>IF(Table2[[#This Row],[tee time3]]&lt;&gt;"",COUNTIF('Summer FD - players'!$B$2:$B$65,"="&amp;Table2[[#This Row],[tee time3]]),"")</f>
        <v>4</v>
      </c>
      <c r="R28" s="59">
        <f>_xlfn.IFNA(VLOOKUP(Table2[[#This Row],[tee time3]],'Summer FD - groups'!$A$3:$F$20,6,FALSE),"")</f>
        <v>40</v>
      </c>
      <c r="S28" s="4">
        <f>_xlfn.IFNA(VLOOKUP(Table2[[#This Row],[tee time3]],'Summer FD - groups'!$A$3:$F$20,4,FALSE),"")</f>
        <v>0.18958333333333333</v>
      </c>
      <c r="T28" s="13">
        <f>_xlfn.IFNA(VLOOKUP(Table2[[#This Row],[tee time3]],'Summer FD - groups'!$A$3:$F$20,5,FALSE),"")</f>
        <v>9.0277777777778567E-3</v>
      </c>
      <c r="U28" s="69">
        <f>IF(Table2[[#This Row],[avg gap]]&lt;&gt;"",IFERROR((MAX(starting_interval,IF(Table2[[#This Row],[gap3]]="NA",Table2[[#This Row],[avg gap]],Table2[[#This Row],[gap3]]))-starting_interval)*Table2[[#This Row],[followers3]]/Table2[[#This Row],[group size3]],""),"")</f>
        <v>2.0833333333334127E-2</v>
      </c>
      <c r="V28" s="32" t="str">
        <f>_xlfn.IFNA(VLOOKUP(Table2[[#This Row],[Name]],'6-6-6 - players'!$A$2:$B$69,2,FALSE),"")</f>
        <v/>
      </c>
      <c r="W28" s="59" t="str">
        <f>IF(Table2[[#This Row],[tee time4]]&lt;&gt;"",COUNTIF('6-6-6 - players'!$B$2:$B$69,"="&amp;Table2[[#This Row],[tee time4]]),"")</f>
        <v/>
      </c>
      <c r="X28" s="59" t="str">
        <f>_xlfn.IFNA(VLOOKUP(Table2[[#This Row],[tee time4]],'6-6-6 - groups'!$A$3:$F$20,6,FALSE),"")</f>
        <v/>
      </c>
      <c r="Y28" s="4" t="str">
        <f>_xlfn.IFNA(VLOOKUP(Table2[[#This Row],[tee time4]],'6-6-6 - groups'!$A$3:$F$20,4,FALSE),"")</f>
        <v/>
      </c>
      <c r="Z28" s="13" t="str">
        <f>_xlfn.IFNA(VLOOKUP(Table2[[#This Row],[tee time4]],'6-6-6 - groups'!$A$3:$F$20,5,FALSE),"")</f>
        <v/>
      </c>
      <c r="AA28" s="69" t="str">
        <f>IF(Table2[[#This Row],[avg gap]]&lt;&gt;"",IFERROR((MAX(starting_interval,IF(Table2[[#This Row],[gap4]]="NA",Table2[[#This Row],[avg gap]],Table2[[#This Row],[gap4]]))-starting_interval)*Table2[[#This Row],[followers4]]/Table2[[#This Row],[group size4]],""),"")</f>
        <v/>
      </c>
      <c r="AB28" s="32" t="str">
        <f>_xlfn.IFNA(VLOOKUP(Table2[[#This Row],[Name]],'Fall FD - players'!$A$2:$B$65,2,FALSE),"")</f>
        <v/>
      </c>
      <c r="AC28" s="59" t="str">
        <f>IF(Table2[[#This Row],[tee time5]]&lt;&gt;"",COUNTIF('Fall FD - players'!$B$2:$B$65,"="&amp;Table2[[#This Row],[tee time5]]),"")</f>
        <v/>
      </c>
      <c r="AD28" s="59" t="str">
        <f>_xlfn.IFNA(VLOOKUP(Table2[[#This Row],[tee time5]],'Fall FD - groups'!$A$3:$F$20,6,FALSE),"")</f>
        <v/>
      </c>
      <c r="AE28" s="4" t="str">
        <f>_xlfn.IFNA(VLOOKUP(Table2[[#This Row],[tee time5]],'Fall FD - groups'!$A$3:$F$20,4,FALSE),"")</f>
        <v/>
      </c>
      <c r="AF28" s="13" t="str">
        <f>IFERROR(MIN(_xlfn.IFNA(VLOOKUP(Table2[[#This Row],[tee time5]],'Fall FD - groups'!$A$3:$F$20,5,FALSE),""),starting_interval + Table2[[#This Row],[round5]] - standard_round_time),"")</f>
        <v/>
      </c>
      <c r="AG28" s="69" t="str">
        <f>IF(AND(Table2[[#This Row],[gap5]]="NA",Table2[[#This Row],[round5]]&lt;4/24),0,IFERROR((MAX(starting_interval,IF(Table2[[#This Row],[gap5]]="NA",Table2[[#This Row],[avg gap]],Table2[[#This Row],[gap5]]))-starting_interval)*Table2[[#This Row],[followers5]]/Table2[[#This Row],[group size5]],""))</f>
        <v/>
      </c>
      <c r="AH28" s="32" t="str">
        <f>_xlfn.IFNA(VLOOKUP(Table2[[#This Row],[Name]],'Stableford - players'!$A$2:$B$65,2,FALSE),"")</f>
        <v/>
      </c>
      <c r="AI28" s="59" t="str">
        <f>IF(Table2[[#This Row],[tee time6]]&lt;&gt;"",COUNTIF('Stableford - players'!$B$2:$B$65,"="&amp;Table2[[#This Row],[tee time6]]),"")</f>
        <v/>
      </c>
      <c r="AJ28" s="59" t="str">
        <f>_xlfn.IFNA(VLOOKUP(Table2[[#This Row],[tee time6]],'Stableford - groups'!$A$3:$F$20,6,FALSE),"")</f>
        <v/>
      </c>
      <c r="AK28" s="11" t="str">
        <f>_xlfn.IFNA(VLOOKUP(Table2[[#This Row],[tee time6]],'Stableford - groups'!$A$3:$F$20,4,FALSE),"")</f>
        <v/>
      </c>
      <c r="AL28" s="13" t="str">
        <f>_xlfn.IFNA(VLOOKUP(Table2[[#This Row],[tee time6]],'Stableford - groups'!$A$3:$F$20,5,FALSE),"")</f>
        <v/>
      </c>
      <c r="AM28" s="68" t="str">
        <f>IF(AND(Table2[[#This Row],[gap6]]="NA",Table2[[#This Row],[round6]]&lt;4/24),0,IFERROR((MAX(starting_interval,IF(Table2[[#This Row],[gap6]]="NA",Table2[[#This Row],[avg gap]],Table2[[#This Row],[gap6]]))-starting_interval)*Table2[[#This Row],[followers6]]/Table2[[#This Row],[group size6]],""))</f>
        <v/>
      </c>
      <c r="AN28" s="32">
        <f>_xlfn.IFNA(VLOOKUP(Table2[[#This Row],[Name]],'Turkey Shoot - players'!$A$2:$B$65,2,FALSE),"")</f>
        <v>0.40972222222222227</v>
      </c>
      <c r="AO28" s="59">
        <f>IF(Table2[[#This Row],[tee time7]]&lt;&gt;"",COUNTIF('Turkey Shoot - players'!$B$2:$B$65,"="&amp;Table2[[#This Row],[tee time7]]),"")</f>
        <v>4</v>
      </c>
      <c r="AP28" s="59">
        <f>_xlfn.IFNA(VLOOKUP(Table2[[#This Row],[tee time7]],'Stableford - groups'!$A$3:$F$20,6,FALSE),"")</f>
        <v>16</v>
      </c>
      <c r="AQ28" s="11">
        <f>_xlfn.IFNA(VLOOKUP(Table2[[#This Row],[tee time7]],'Turkey Shoot - groups'!$A$3:$F$20,4,FALSE),"")</f>
        <v>0.17569444444444443</v>
      </c>
      <c r="AR28" s="13">
        <f>_xlfn.IFNA(VLOOKUP(Table2[[#This Row],[tee time7]],'Turkey Shoot - groups'!$A$3:$F$20,5,FALSE),"")</f>
        <v>9.7222222222222224E-3</v>
      </c>
      <c r="AS28" s="68">
        <f>IF(AND(Table2[[#This Row],[gap7]]="NA",Table2[[#This Row],[round7]]&lt;4/24),0,IFERROR((MAX(starting_interval,IF(Table2[[#This Row],[gap7]]="NA",Table2[[#This Row],[avg gap]],Table2[[#This Row],[gap7]]))-starting_interval)*Table2[[#This Row],[followers7]]/Table2[[#This Row],[group size7]],""))</f>
        <v>1.1111111111111113E-2</v>
      </c>
      <c r="AT28" s="72">
        <f>COUNT(Table2[[#This Row],[Tee time1]],Table2[[#This Row],[tee time2]],Table2[[#This Row],[tee time3]],Table2[[#This Row],[tee time4]],Table2[[#This Row],[tee time5]],Table2[[#This Row],[tee time6]],Table2[[#This Row],[tee time7]])</f>
        <v>4</v>
      </c>
      <c r="AU28" s="4">
        <f>IFERROR(AVERAGE(Table2[[#This Row],[Tee time1]],Table2[[#This Row],[tee time2]],Table2[[#This Row],[tee time3]],Table2[[#This Row],[tee time4]],Table2[[#This Row],[tee time5]],Table2[[#This Row],[tee time6]],Table2[[#This Row],[tee time7]]),"")</f>
        <v>0.39149305555555558</v>
      </c>
      <c r="AV28" s="11">
        <f>IFERROR(MEDIAN(Table2[[#This Row],[round1]],Table2[[#This Row],[Round2]],Table2[[#This Row],[round3]],Table2[[#This Row],[round4]],Table2[[#This Row],[round5]],Table2[[#This Row],[round6]],Table2[[#This Row],[round7]]),"")</f>
        <v>0.18715277777777778</v>
      </c>
      <c r="AW28" s="11">
        <f>IFERROR(AVERAGE(Table2[[#This Row],[gap1]],Table2[[#This Row],[gap2]],Table2[[#This Row],[gap3]],Table2[[#This Row],[gap4]],Table2[[#This Row],[gap5]],Table2[[#This Row],[gap6]],Table2[[#This Row],[gap7]]),"")</f>
        <v>8.6805555555555663E-3</v>
      </c>
      <c r="AX28" s="9">
        <f>IFERROR((Table2[[#This Row],[avg gap]]-starting_interval)*24*60*Table2[[#This Row],[Count]],"NA")</f>
        <v>10.000000000000064</v>
      </c>
      <c r="AY2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7.638888888888927E-2</v>
      </c>
      <c r="AZ28" s="2"/>
    </row>
    <row r="29" spans="1:52" x14ac:dyDescent="0.3">
      <c r="A29" s="10" t="s">
        <v>49</v>
      </c>
      <c r="B29" s="1" t="s">
        <v>287</v>
      </c>
      <c r="C29" s="19">
        <v>12.7</v>
      </c>
      <c r="D29" s="32">
        <f>_xlfn.IFNA(VLOOKUP(Table2[[#This Row],[Name]],'Classic day 1 - players'!$A$2:$B$64,2,FALSE),"")</f>
        <v>0.34583333333333338</v>
      </c>
      <c r="E29" s="33">
        <f>IF(Table2[[#This Row],[Tee time1]]&lt;&gt;"",COUNTIF('Classic day 1 - players'!$B$2:$B$64,"="&amp;Table2[[#This Row],[Tee time1]]),"")</f>
        <v>4</v>
      </c>
      <c r="F29" s="33">
        <f>_xlfn.IFNA(VLOOKUP(Table2[[#This Row],[Tee time1]],'Classic day 1 - groups'!$A$3:$F$20,6,FALSE),"")</f>
        <v>60</v>
      </c>
      <c r="G29" s="11">
        <f>_xlfn.IFNA(VLOOKUP(Table2[[#This Row],[Tee time1]],'Classic day 1 - groups'!$A$3:$F$20,4,FALSE),"")</f>
        <v>0.20000000000000007</v>
      </c>
      <c r="H29" s="12">
        <f>_xlfn.IFNA(VLOOKUP(Table2[[#This Row],[Tee time1]],'Classic day 1 - groups'!$A$3:$F$20,5,FALSE),"")</f>
        <v>7.6388888888889728E-3</v>
      </c>
      <c r="I29" s="69">
        <f>IFERROR((MAX(starting_interval,IF(Table2[[#This Row],[gap1]]="NA",Table2[[#This Row],[avg gap]],Table2[[#This Row],[gap1]]))-starting_interval)*Table2[[#This Row],[followers1]]/Table2[[#This Row],[group size]],"")</f>
        <v>1.0416666666667931E-2</v>
      </c>
      <c r="J29" s="32">
        <f>_xlfn.IFNA(VLOOKUP(Table2[[#This Row],[Name]],'Classic day 2 - players'!$A$2:$B$64,2,FALSE),"")</f>
        <v>0.40208333333333335</v>
      </c>
      <c r="K29" s="33">
        <f>IF(Table2[[#This Row],[tee time2]]&lt;&gt;"",COUNTIF('Classic day 2 - players'!$B$2:$B$64,"="&amp;Table2[[#This Row],[tee time2]]),"")</f>
        <v>4</v>
      </c>
      <c r="L29" s="33">
        <f>_xlfn.IFNA(VLOOKUP(Table2[[#This Row],[tee time2]],'Classic day 2 - groups'!$A$3:$F$20,6,FALSE),"")</f>
        <v>8</v>
      </c>
      <c r="M29" s="4">
        <f>_xlfn.IFNA(VLOOKUP(Table2[[#This Row],[tee time2]],'Classic day 2 - groups'!$A$3:$F$20,4,FALSE),"")</f>
        <v>0.18958333333333333</v>
      </c>
      <c r="N29" s="65">
        <f>_xlfn.IFNA(VLOOKUP(Table2[[#This Row],[tee time2]],'Classic day 2 - groups'!$A$3:$F$20,5,FALSE),"")</f>
        <v>1.1805555555555555E-2</v>
      </c>
      <c r="O29" s="69">
        <f>IFERROR((MAX(starting_interval,IF(Table2[[#This Row],[gap2]]="NA",Table2[[#This Row],[avg gap]],Table2[[#This Row],[gap2]]))-starting_interval)*Table2[[#This Row],[followers2]]/Table2[[#This Row],[group size2]],"")</f>
        <v>9.7222222222222224E-3</v>
      </c>
      <c r="P29" s="32" t="str">
        <f>_xlfn.IFNA(VLOOKUP(Table2[[#This Row],[Name]],'Summer FD - players'!$A$2:$B$65,2,FALSE),"")</f>
        <v/>
      </c>
      <c r="Q29" s="59" t="str">
        <f>IF(Table2[[#This Row],[tee time3]]&lt;&gt;"",COUNTIF('Summer FD - players'!$B$2:$B$65,"="&amp;Table2[[#This Row],[tee time3]]),"")</f>
        <v/>
      </c>
      <c r="R29" s="59" t="str">
        <f>_xlfn.IFNA(VLOOKUP(Table2[[#This Row],[tee time3]],'Summer FD - groups'!$A$3:$F$20,6,FALSE),"")</f>
        <v/>
      </c>
      <c r="S29" s="4" t="str">
        <f>_xlfn.IFNA(VLOOKUP(Table2[[#This Row],[tee time3]],'Summer FD - groups'!$A$3:$F$20,4,FALSE),"")</f>
        <v/>
      </c>
      <c r="T29" s="13" t="str">
        <f>_xlfn.IFNA(VLOOKUP(Table2[[#This Row],[tee time3]],'Summer FD - groups'!$A$3:$F$20,5,FALSE),"")</f>
        <v/>
      </c>
      <c r="U29" s="69" t="str">
        <f>IF(Table2[[#This Row],[avg gap]]&lt;&gt;"",IFERROR((MAX(starting_interval,IF(Table2[[#This Row],[gap3]]="NA",Table2[[#This Row],[avg gap]],Table2[[#This Row],[gap3]]))-starting_interval)*Table2[[#This Row],[followers3]]/Table2[[#This Row],[group size3]],""),"")</f>
        <v/>
      </c>
      <c r="V29" s="32" t="str">
        <f>_xlfn.IFNA(VLOOKUP(Table2[[#This Row],[Name]],'6-6-6 - players'!$A$2:$B$69,2,FALSE),"")</f>
        <v/>
      </c>
      <c r="W29" s="59" t="str">
        <f>IF(Table2[[#This Row],[tee time4]]&lt;&gt;"",COUNTIF('6-6-6 - players'!$B$2:$B$69,"="&amp;Table2[[#This Row],[tee time4]]),"")</f>
        <v/>
      </c>
      <c r="X29" s="59" t="str">
        <f>_xlfn.IFNA(VLOOKUP(Table2[[#This Row],[tee time4]],'6-6-6 - groups'!$A$3:$F$20,6,FALSE),"")</f>
        <v/>
      </c>
      <c r="Y29" s="4" t="str">
        <f>_xlfn.IFNA(VLOOKUP(Table2[[#This Row],[tee time4]],'6-6-6 - groups'!$A$3:$F$20,4,FALSE),"")</f>
        <v/>
      </c>
      <c r="Z29" s="13" t="str">
        <f>_xlfn.IFNA(VLOOKUP(Table2[[#This Row],[tee time4]],'6-6-6 - groups'!$A$3:$F$20,5,FALSE),"")</f>
        <v/>
      </c>
      <c r="AA29" s="69" t="str">
        <f>IF(Table2[[#This Row],[avg gap]]&lt;&gt;"",IFERROR((MAX(starting_interval,IF(Table2[[#This Row],[gap4]]="NA",Table2[[#This Row],[avg gap]],Table2[[#This Row],[gap4]]))-starting_interval)*Table2[[#This Row],[followers4]]/Table2[[#This Row],[group size4]],""),"")</f>
        <v/>
      </c>
      <c r="AB29" s="32">
        <f>_xlfn.IFNA(VLOOKUP(Table2[[#This Row],[Name]],'Fall FD - players'!$A$2:$B$65,2,FALSE),"")</f>
        <v>0.37222222222222223</v>
      </c>
      <c r="AC29" s="59">
        <f>IF(Table2[[#This Row],[tee time5]]&lt;&gt;"",COUNTIF('Fall FD - players'!$B$2:$B$65,"="&amp;Table2[[#This Row],[tee time5]]),"")</f>
        <v>3</v>
      </c>
      <c r="AD29" s="59">
        <f>_xlfn.IFNA(VLOOKUP(Table2[[#This Row],[tee time5]],'Fall FD - groups'!$A$3:$F$20,6,FALSE),"")</f>
        <v>48</v>
      </c>
      <c r="AE29" s="4">
        <f>_xlfn.IFNA(VLOOKUP(Table2[[#This Row],[tee time5]],'Fall FD - groups'!$A$3:$F$20,4,FALSE),"")</f>
        <v>0.17291666666666672</v>
      </c>
      <c r="AF29" s="13">
        <f>IFERROR(MIN(_xlfn.IFNA(VLOOKUP(Table2[[#This Row],[tee time5]],'Fall FD - groups'!$A$3:$F$20,5,FALSE),""),starting_interval + Table2[[#This Row],[round5]] - standard_round_time),"")</f>
        <v>1.0416666666666741E-2</v>
      </c>
      <c r="AG29" s="69">
        <f>IF(AND(Table2[[#This Row],[gap5]]="NA",Table2[[#This Row],[round5]]&lt;4/24),0,IFERROR((MAX(starting_interval,IF(Table2[[#This Row],[gap5]]="NA",Table2[[#This Row],[avg gap]],Table2[[#This Row],[gap5]]))-starting_interval)*Table2[[#This Row],[followers5]]/Table2[[#This Row],[group size5]],""))</f>
        <v>5.5555555555556746E-2</v>
      </c>
      <c r="AH29" s="32" t="str">
        <f>_xlfn.IFNA(VLOOKUP(Table2[[#This Row],[Name]],'Stableford - players'!$A$2:$B$65,2,FALSE),"")</f>
        <v/>
      </c>
      <c r="AI29" s="59" t="str">
        <f>IF(Table2[[#This Row],[tee time6]]&lt;&gt;"",COUNTIF('Stableford - players'!$B$2:$B$65,"="&amp;Table2[[#This Row],[tee time6]]),"")</f>
        <v/>
      </c>
      <c r="AJ29" s="59" t="str">
        <f>_xlfn.IFNA(VLOOKUP(Table2[[#This Row],[tee time6]],'Stableford - groups'!$A$3:$F$20,6,FALSE),"")</f>
        <v/>
      </c>
      <c r="AK29" s="11" t="str">
        <f>_xlfn.IFNA(VLOOKUP(Table2[[#This Row],[tee time6]],'Stableford - groups'!$A$3:$F$20,4,FALSE),"")</f>
        <v/>
      </c>
      <c r="AL29" s="13" t="str">
        <f>_xlfn.IFNA(VLOOKUP(Table2[[#This Row],[tee time6]],'Stableford - groups'!$A$3:$F$20,5,FALSE),"")</f>
        <v/>
      </c>
      <c r="AM29" s="68" t="str">
        <f>IF(AND(Table2[[#This Row],[gap6]]="NA",Table2[[#This Row],[round6]]&lt;4/24),0,IFERROR((MAX(starting_interval,IF(Table2[[#This Row],[gap6]]="NA",Table2[[#This Row],[avg gap]],Table2[[#This Row],[gap6]]))-starting_interval)*Table2[[#This Row],[followers6]]/Table2[[#This Row],[group size6]],""))</f>
        <v/>
      </c>
      <c r="AN29" s="32" t="str">
        <f>_xlfn.IFNA(VLOOKUP(Table2[[#This Row],[Name]],'Turkey Shoot - players'!$A$2:$B$65,2,FALSE),"")</f>
        <v/>
      </c>
      <c r="AO29" s="59" t="str">
        <f>IF(Table2[[#This Row],[tee time7]]&lt;&gt;"",COUNTIF('Turkey Shoot - players'!$B$2:$B$65,"="&amp;Table2[[#This Row],[tee time7]]),"")</f>
        <v/>
      </c>
      <c r="AP29" s="59" t="str">
        <f>_xlfn.IFNA(VLOOKUP(Table2[[#This Row],[tee time7]],'Stableford - groups'!$A$3:$F$20,6,FALSE),"")</f>
        <v/>
      </c>
      <c r="AQ29" s="11" t="str">
        <f>_xlfn.IFNA(VLOOKUP(Table2[[#This Row],[tee time7]],'Turkey Shoot - groups'!$A$3:$F$20,4,FALSE),"")</f>
        <v/>
      </c>
      <c r="AR29" s="13" t="str">
        <f>_xlfn.IFNA(VLOOKUP(Table2[[#This Row],[tee time7]],'Turkey Shoot - groups'!$A$3:$F$20,5,FALSE),"")</f>
        <v/>
      </c>
      <c r="AS29" s="68" t="str">
        <f>IF(AND(Table2[[#This Row],[gap7]]="NA",Table2[[#This Row],[round7]]&lt;4/24),0,IFERROR((MAX(starting_interval,IF(Table2[[#This Row],[gap7]]="NA",Table2[[#This Row],[avg gap]],Table2[[#This Row],[gap7]]))-starting_interval)*Table2[[#This Row],[followers7]]/Table2[[#This Row],[group size7]],""))</f>
        <v/>
      </c>
      <c r="AT29" s="72">
        <f>COUNT(Table2[[#This Row],[Tee time1]],Table2[[#This Row],[tee time2]],Table2[[#This Row],[tee time3]],Table2[[#This Row],[tee time4]],Table2[[#This Row],[tee time5]],Table2[[#This Row],[tee time6]],Table2[[#This Row],[tee time7]])</f>
        <v>3</v>
      </c>
      <c r="AU29" s="4">
        <f>IFERROR(AVERAGE(Table2[[#This Row],[Tee time1]],Table2[[#This Row],[tee time2]],Table2[[#This Row],[tee time3]],Table2[[#This Row],[tee time4]],Table2[[#This Row],[tee time5]],Table2[[#This Row],[tee time6]],Table2[[#This Row],[tee time7]]),"")</f>
        <v>0.37337962962962967</v>
      </c>
      <c r="AV29" s="12">
        <f>IFERROR(MEDIAN(Table2[[#This Row],[round1]],Table2[[#This Row],[Round2]],Table2[[#This Row],[round3]],Table2[[#This Row],[round4]],Table2[[#This Row],[round5]],Table2[[#This Row],[round6]],Table2[[#This Row],[round7]]),"")</f>
        <v>0.18958333333333333</v>
      </c>
      <c r="AW29" s="11">
        <f>IFERROR(AVERAGE(Table2[[#This Row],[gap1]],Table2[[#This Row],[gap2]],Table2[[#This Row],[gap3]],Table2[[#This Row],[gap4]],Table2[[#This Row],[gap5]],Table2[[#This Row],[gap6]],Table2[[#This Row],[gap7]]),"")</f>
        <v>9.9537037037037562E-3</v>
      </c>
      <c r="AX29" s="9">
        <f>IFERROR((Table2[[#This Row],[avg gap]]-starting_interval)*24*60*Table2[[#This Row],[Count]],"NA")</f>
        <v>13.000000000000227</v>
      </c>
      <c r="AY2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7.5694444444446896E-2</v>
      </c>
      <c r="AZ29" s="2"/>
    </row>
    <row r="30" spans="1:52" x14ac:dyDescent="0.3">
      <c r="A30" s="10" t="s">
        <v>103</v>
      </c>
      <c r="B30" s="1" t="s">
        <v>342</v>
      </c>
      <c r="C30" s="19">
        <v>17.600000000000001</v>
      </c>
      <c r="D30" s="32" t="str">
        <f>_xlfn.IFNA(VLOOKUP(Table2[[#This Row],[Name]],'Classic day 1 - players'!$A$2:$B$64,2,FALSE),"")</f>
        <v/>
      </c>
      <c r="E30" s="33" t="str">
        <f>IF(Table2[[#This Row],[Tee time1]]&lt;&gt;"",COUNTIF('Classic day 1 - players'!$B$2:$B$64,"="&amp;Table2[[#This Row],[Tee time1]]),"")</f>
        <v/>
      </c>
      <c r="F30" s="33" t="str">
        <f>_xlfn.IFNA(VLOOKUP(Table2[[#This Row],[Tee time1]],'Classic day 1 - groups'!$A$3:$F$20,6,FALSE),"")</f>
        <v/>
      </c>
      <c r="G30" s="11" t="str">
        <f>_xlfn.IFNA(VLOOKUP(Table2[[#This Row],[Tee time1]],'Classic day 1 - groups'!$A$3:$F$20,4,FALSE),"")</f>
        <v/>
      </c>
      <c r="H30" s="12" t="str">
        <f>_xlfn.IFNA(VLOOKUP(Table2[[#This Row],[Tee time1]],'Classic day 1 - groups'!$A$3:$F$20,5,FALSE),"")</f>
        <v/>
      </c>
      <c r="I30" s="69" t="str">
        <f>IFERROR((MAX(starting_interval,IF(Table2[[#This Row],[gap1]]="NA",Table2[[#This Row],[avg gap]],Table2[[#This Row],[gap1]]))-starting_interval)*Table2[[#This Row],[followers1]]/Table2[[#This Row],[group size]],"")</f>
        <v/>
      </c>
      <c r="J30" s="32" t="str">
        <f>_xlfn.IFNA(VLOOKUP(Table2[[#This Row],[Name]],'Classic day 2 - players'!$A$2:$B$64,2,FALSE),"")</f>
        <v/>
      </c>
      <c r="K30" s="33" t="str">
        <f>IF(Table2[[#This Row],[tee time2]]&lt;&gt;"",COUNTIF('Classic day 2 - players'!$B$2:$B$64,"="&amp;Table2[[#This Row],[tee time2]]),"")</f>
        <v/>
      </c>
      <c r="L30" s="33" t="str">
        <f>_xlfn.IFNA(VLOOKUP(Table2[[#This Row],[tee time2]],'Classic day 2 - groups'!$A$3:$F$20,6,FALSE),"")</f>
        <v/>
      </c>
      <c r="M30" s="4" t="str">
        <f>_xlfn.IFNA(VLOOKUP(Table2[[#This Row],[tee time2]],'Classic day 2 - groups'!$A$3:$F$20,4,FALSE),"")</f>
        <v/>
      </c>
      <c r="N30" s="65" t="str">
        <f>_xlfn.IFNA(VLOOKUP(Table2[[#This Row],[tee time2]],'Classic day 2 - groups'!$A$3:$F$20,5,FALSE),"")</f>
        <v/>
      </c>
      <c r="O30" s="69" t="str">
        <f>IFERROR((MAX(starting_interval,IF(Table2[[#This Row],[gap2]]="NA",Table2[[#This Row],[avg gap]],Table2[[#This Row],[gap2]]))-starting_interval)*Table2[[#This Row],[followers2]]/Table2[[#This Row],[group size2]],"")</f>
        <v/>
      </c>
      <c r="P30" s="32" t="str">
        <f>_xlfn.IFNA(VLOOKUP(Table2[[#This Row],[Name]],'Summer FD - players'!$A$2:$B$65,2,FALSE),"")</f>
        <v/>
      </c>
      <c r="Q30" s="59" t="str">
        <f>IF(Table2[[#This Row],[tee time3]]&lt;&gt;"",COUNTIF('Summer FD - players'!$B$2:$B$65,"="&amp;Table2[[#This Row],[tee time3]]),"")</f>
        <v/>
      </c>
      <c r="R30" s="59" t="str">
        <f>_xlfn.IFNA(VLOOKUP(Table2[[#This Row],[tee time3]],'Summer FD - groups'!$A$3:$F$20,6,FALSE),"")</f>
        <v/>
      </c>
      <c r="S30" s="4" t="str">
        <f>_xlfn.IFNA(VLOOKUP(Table2[[#This Row],[tee time3]],'Summer FD - groups'!$A$3:$F$20,4,FALSE),"")</f>
        <v/>
      </c>
      <c r="T30" s="13" t="str">
        <f>_xlfn.IFNA(VLOOKUP(Table2[[#This Row],[tee time3]],'Summer FD - groups'!$A$3:$F$20,5,FALSE),"")</f>
        <v/>
      </c>
      <c r="U30" s="69" t="str">
        <f>IF(Table2[[#This Row],[avg gap]]&lt;&gt;"",IFERROR((MAX(starting_interval,IF(Table2[[#This Row],[gap3]]="NA",Table2[[#This Row],[avg gap]],Table2[[#This Row],[gap3]]))-starting_interval)*Table2[[#This Row],[followers3]]/Table2[[#This Row],[group size3]],""),"")</f>
        <v/>
      </c>
      <c r="V30" s="32" t="str">
        <f>_xlfn.IFNA(VLOOKUP(Table2[[#This Row],[Name]],'6-6-6 - players'!$A$2:$B$69,2,FALSE),"")</f>
        <v/>
      </c>
      <c r="W30" s="59" t="str">
        <f>IF(Table2[[#This Row],[tee time4]]&lt;&gt;"",COUNTIF('6-6-6 - players'!$B$2:$B$69,"="&amp;Table2[[#This Row],[tee time4]]),"")</f>
        <v/>
      </c>
      <c r="X30" s="59" t="str">
        <f>_xlfn.IFNA(VLOOKUP(Table2[[#This Row],[tee time4]],'6-6-6 - groups'!$A$3:$F$20,6,FALSE),"")</f>
        <v/>
      </c>
      <c r="Y30" s="4" t="str">
        <f>_xlfn.IFNA(VLOOKUP(Table2[[#This Row],[tee time4]],'6-6-6 - groups'!$A$3:$F$20,4,FALSE),"")</f>
        <v/>
      </c>
      <c r="Z30" s="13" t="str">
        <f>_xlfn.IFNA(VLOOKUP(Table2[[#This Row],[tee time4]],'6-6-6 - groups'!$A$3:$F$20,5,FALSE),"")</f>
        <v/>
      </c>
      <c r="AA30" s="69" t="str">
        <f>IF(Table2[[#This Row],[avg gap]]&lt;&gt;"",IFERROR((MAX(starting_interval,IF(Table2[[#This Row],[gap4]]="NA",Table2[[#This Row],[avg gap]],Table2[[#This Row],[gap4]]))-starting_interval)*Table2[[#This Row],[followers4]]/Table2[[#This Row],[group size4]],""),"")</f>
        <v/>
      </c>
      <c r="AB30" s="32">
        <f>_xlfn.IFNA(VLOOKUP(Table2[[#This Row],[Name]],'Fall FD - players'!$A$2:$B$65,2,FALSE),"")</f>
        <v>0.37222222222222223</v>
      </c>
      <c r="AC30" s="59">
        <f>IF(Table2[[#This Row],[tee time5]]&lt;&gt;"",COUNTIF('Fall FD - players'!$B$2:$B$65,"="&amp;Table2[[#This Row],[tee time5]]),"")</f>
        <v>3</v>
      </c>
      <c r="AD30" s="59">
        <f>_xlfn.IFNA(VLOOKUP(Table2[[#This Row],[tee time5]],'Fall FD - groups'!$A$3:$F$20,6,FALSE),"")</f>
        <v>48</v>
      </c>
      <c r="AE30" s="4">
        <f>_xlfn.IFNA(VLOOKUP(Table2[[#This Row],[tee time5]],'Fall FD - groups'!$A$3:$F$20,4,FALSE),"")</f>
        <v>0.17291666666666672</v>
      </c>
      <c r="AF30" s="13">
        <f>IFERROR(MIN(_xlfn.IFNA(VLOOKUP(Table2[[#This Row],[tee time5]],'Fall FD - groups'!$A$3:$F$20,5,FALSE),""),starting_interval + Table2[[#This Row],[round5]] - standard_round_time),"")</f>
        <v>1.0416666666666741E-2</v>
      </c>
      <c r="AG30" s="69">
        <f>IF(AND(Table2[[#This Row],[gap5]]="NA",Table2[[#This Row],[round5]]&lt;4/24),0,IFERROR((MAX(starting_interval,IF(Table2[[#This Row],[gap5]]="NA",Table2[[#This Row],[avg gap]],Table2[[#This Row],[gap5]]))-starting_interval)*Table2[[#This Row],[followers5]]/Table2[[#This Row],[group size5]],""))</f>
        <v>5.5555555555556746E-2</v>
      </c>
      <c r="AH30" s="32">
        <f>_xlfn.IFNA(VLOOKUP(Table2[[#This Row],[Name]],'Stableford - players'!$A$2:$B$65,2,FALSE),"")</f>
        <v>0.375</v>
      </c>
      <c r="AI30" s="59">
        <f>IF(Table2[[#This Row],[tee time6]]&lt;&gt;"",COUNTIF('Stableford - players'!$B$2:$B$65,"="&amp;Table2[[#This Row],[tee time6]]),"")</f>
        <v>4</v>
      </c>
      <c r="AJ30" s="59">
        <f>_xlfn.IFNA(VLOOKUP(Table2[[#This Row],[tee time6]],'Stableford - groups'!$A$3:$F$20,6,FALSE),"")</f>
        <v>36</v>
      </c>
      <c r="AK30" s="11">
        <f>_xlfn.IFNA(VLOOKUP(Table2[[#This Row],[tee time6]],'Stableford - groups'!$A$3:$F$20,4,FALSE),"")</f>
        <v>0.1694444444444444</v>
      </c>
      <c r="AL30" s="13">
        <f>_xlfn.IFNA(VLOOKUP(Table2[[#This Row],[tee time6]],'Stableford - groups'!$A$3:$F$20,5,FALSE),"")</f>
        <v>9.0277777777777457E-3</v>
      </c>
      <c r="AM30" s="68">
        <f>IF(AND(Table2[[#This Row],[gap6]]="NA",Table2[[#This Row],[round6]]&lt;4/24),0,IFERROR((MAX(starting_interval,IF(Table2[[#This Row],[gap6]]="NA",Table2[[#This Row],[avg gap]],Table2[[#This Row],[gap6]]))-starting_interval)*Table2[[#This Row],[followers6]]/Table2[[#This Row],[group size6]],""))</f>
        <v>1.8749999999999715E-2</v>
      </c>
      <c r="AN30" s="32" t="str">
        <f>_xlfn.IFNA(VLOOKUP(Table2[[#This Row],[Name]],'Turkey Shoot - players'!$A$2:$B$65,2,FALSE),"")</f>
        <v/>
      </c>
      <c r="AO30" s="59" t="str">
        <f>IF(Table2[[#This Row],[tee time7]]&lt;&gt;"",COUNTIF('Turkey Shoot - players'!$B$2:$B$65,"="&amp;Table2[[#This Row],[tee time7]]),"")</f>
        <v/>
      </c>
      <c r="AP30" s="59" t="str">
        <f>_xlfn.IFNA(VLOOKUP(Table2[[#This Row],[tee time7]],'Stableford - groups'!$A$3:$F$20,6,FALSE),"")</f>
        <v/>
      </c>
      <c r="AQ30" s="11" t="str">
        <f>_xlfn.IFNA(VLOOKUP(Table2[[#This Row],[tee time7]],'Turkey Shoot - groups'!$A$3:$F$20,4,FALSE),"")</f>
        <v/>
      </c>
      <c r="AR30" s="13" t="str">
        <f>_xlfn.IFNA(VLOOKUP(Table2[[#This Row],[tee time7]],'Turkey Shoot - groups'!$A$3:$F$20,5,FALSE),"")</f>
        <v/>
      </c>
      <c r="AS30" s="68" t="str">
        <f>IF(AND(Table2[[#This Row],[gap7]]="NA",Table2[[#This Row],[round7]]&lt;4/24),0,IFERROR((MAX(starting_interval,IF(Table2[[#This Row],[gap7]]="NA",Table2[[#This Row],[avg gap]],Table2[[#This Row],[gap7]]))-starting_interval)*Table2[[#This Row],[followers7]]/Table2[[#This Row],[group size7]],""))</f>
        <v/>
      </c>
      <c r="AT30" s="72">
        <f>COUNT(Table2[[#This Row],[Tee time1]],Table2[[#This Row],[tee time2]],Table2[[#This Row],[tee time3]],Table2[[#This Row],[tee time4]],Table2[[#This Row],[tee time5]],Table2[[#This Row],[tee time6]],Table2[[#This Row],[tee time7]])</f>
        <v>2</v>
      </c>
      <c r="AU30" s="4">
        <f>IFERROR(AVERAGE(Table2[[#This Row],[Tee time1]],Table2[[#This Row],[tee time2]],Table2[[#This Row],[tee time3]],Table2[[#This Row],[tee time4]],Table2[[#This Row],[tee time5]],Table2[[#This Row],[tee time6]],Table2[[#This Row],[tee time7]]),"")</f>
        <v>0.37361111111111112</v>
      </c>
      <c r="AV30" s="11">
        <f>IFERROR(MEDIAN(Table2[[#This Row],[round1]],Table2[[#This Row],[Round2]],Table2[[#This Row],[round3]],Table2[[#This Row],[round4]],Table2[[#This Row],[round5]],Table2[[#This Row],[round6]],Table2[[#This Row],[round7]]),"")</f>
        <v>0.17118055555555556</v>
      </c>
      <c r="AW30" s="11">
        <f>IFERROR(AVERAGE(Table2[[#This Row],[gap1]],Table2[[#This Row],[gap2]],Table2[[#This Row],[gap3]],Table2[[#This Row],[gap4]],Table2[[#This Row],[gap5]],Table2[[#This Row],[gap6]],Table2[[#This Row],[gap7]]),"")</f>
        <v>9.7222222222222432E-3</v>
      </c>
      <c r="AX30" s="9">
        <f>IFERROR((Table2[[#This Row],[avg gap]]-starting_interval)*24*60*Table2[[#This Row],[Count]],"NA")</f>
        <v>8.0000000000000622</v>
      </c>
      <c r="AY3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7.4305555555556457E-2</v>
      </c>
      <c r="AZ30" s="2"/>
    </row>
    <row r="31" spans="1:52" x14ac:dyDescent="0.3">
      <c r="A31" s="10" t="s">
        <v>80</v>
      </c>
      <c r="B31" s="1" t="s">
        <v>319</v>
      </c>
      <c r="C31" s="19">
        <v>9.8000000000000007</v>
      </c>
      <c r="D31" s="32" t="str">
        <f>_xlfn.IFNA(VLOOKUP(Table2[[#This Row],[Name]],'Classic day 1 - players'!$A$2:$B$64,2,FALSE),"")</f>
        <v/>
      </c>
      <c r="E31" s="33" t="str">
        <f>IF(Table2[[#This Row],[Tee time1]]&lt;&gt;"",COUNTIF('Classic day 1 - players'!$B$2:$B$64,"="&amp;Table2[[#This Row],[Tee time1]]),"")</f>
        <v/>
      </c>
      <c r="F31" s="33" t="str">
        <f>_xlfn.IFNA(VLOOKUP(Table2[[#This Row],[Tee time1]],'Classic day 1 - groups'!$A$3:$F$20,6,FALSE),"")</f>
        <v/>
      </c>
      <c r="G31" s="11" t="str">
        <f>_xlfn.IFNA(VLOOKUP(Table2[[#This Row],[Tee time1]],'Classic day 1 - groups'!$A$3:$F$20,4,FALSE),"")</f>
        <v/>
      </c>
      <c r="H31" s="12" t="str">
        <f>_xlfn.IFNA(VLOOKUP(Table2[[#This Row],[Tee time1]],'Classic day 1 - groups'!$A$3:$F$20,5,FALSE),"")</f>
        <v/>
      </c>
      <c r="I31" s="69" t="str">
        <f>IFERROR((MAX(starting_interval,IF(Table2[[#This Row],[gap1]]="NA",Table2[[#This Row],[avg gap]],Table2[[#This Row],[gap1]]))-starting_interval)*Table2[[#This Row],[followers1]]/Table2[[#This Row],[group size]],"")</f>
        <v/>
      </c>
      <c r="J31" s="32" t="str">
        <f>_xlfn.IFNA(VLOOKUP(Table2[[#This Row],[Name]],'Classic day 2 - players'!$A$2:$B$64,2,FALSE),"")</f>
        <v/>
      </c>
      <c r="K31" s="33" t="str">
        <f>IF(Table2[[#This Row],[tee time2]]&lt;&gt;"",COUNTIF('Classic day 2 - players'!$B$2:$B$64,"="&amp;Table2[[#This Row],[tee time2]]),"")</f>
        <v/>
      </c>
      <c r="L31" s="33" t="str">
        <f>_xlfn.IFNA(VLOOKUP(Table2[[#This Row],[tee time2]],'Classic day 2 - groups'!$A$3:$F$20,6,FALSE),"")</f>
        <v/>
      </c>
      <c r="M31" s="4" t="str">
        <f>_xlfn.IFNA(VLOOKUP(Table2[[#This Row],[tee time2]],'Classic day 2 - groups'!$A$3:$F$20,4,FALSE),"")</f>
        <v/>
      </c>
      <c r="N31" s="65" t="str">
        <f>_xlfn.IFNA(VLOOKUP(Table2[[#This Row],[tee time2]],'Classic day 2 - groups'!$A$3:$F$20,5,FALSE),"")</f>
        <v/>
      </c>
      <c r="O31" s="69" t="str">
        <f>IFERROR((MAX(starting_interval,IF(Table2[[#This Row],[gap2]]="NA",Table2[[#This Row],[avg gap]],Table2[[#This Row],[gap2]]))-starting_interval)*Table2[[#This Row],[followers2]]/Table2[[#This Row],[group size2]],"")</f>
        <v/>
      </c>
      <c r="P31" s="32">
        <f>_xlfn.IFNA(VLOOKUP(Table2[[#This Row],[Name]],'Summer FD - players'!$A$2:$B$65,2,FALSE),"")</f>
        <v>0.33611111111111108</v>
      </c>
      <c r="Q31" s="59">
        <f>IF(Table2[[#This Row],[tee time3]]&lt;&gt;"",COUNTIF('Summer FD - players'!$B$2:$B$65,"="&amp;Table2[[#This Row],[tee time3]]),"")</f>
        <v>4</v>
      </c>
      <c r="R31" s="59">
        <f>_xlfn.IFNA(VLOOKUP(Table2[[#This Row],[tee time3]],'Summer FD - groups'!$A$3:$F$20,6,FALSE),"")</f>
        <v>60</v>
      </c>
      <c r="S31" s="4">
        <f>_xlfn.IFNA(VLOOKUP(Table2[[#This Row],[tee time3]],'Summer FD - groups'!$A$3:$F$20,4,FALSE),"")</f>
        <v>0.18680555555555556</v>
      </c>
      <c r="T31" s="13">
        <f>_xlfn.IFNA(VLOOKUP(Table2[[#This Row],[tee time3]],'Summer FD - groups'!$A$3:$F$20,5,FALSE),"")</f>
        <v>1.1805555555555625E-2</v>
      </c>
      <c r="U31" s="69">
        <f>IF(Table2[[#This Row],[avg gap]]&lt;&gt;"",IFERROR((MAX(starting_interval,IF(Table2[[#This Row],[gap3]]="NA",Table2[[#This Row],[avg gap]],Table2[[#This Row],[gap3]]))-starting_interval)*Table2[[#This Row],[followers3]]/Table2[[#This Row],[group size3]],""),"")</f>
        <v>7.2916666666667712E-2</v>
      </c>
      <c r="V31" s="32" t="str">
        <f>_xlfn.IFNA(VLOOKUP(Table2[[#This Row],[Name]],'6-6-6 - players'!$A$2:$B$69,2,FALSE),"")</f>
        <v/>
      </c>
      <c r="W31" s="59" t="str">
        <f>IF(Table2[[#This Row],[tee time4]]&lt;&gt;"",COUNTIF('6-6-6 - players'!$B$2:$B$69,"="&amp;Table2[[#This Row],[tee time4]]),"")</f>
        <v/>
      </c>
      <c r="X31" s="59" t="str">
        <f>_xlfn.IFNA(VLOOKUP(Table2[[#This Row],[tee time4]],'6-6-6 - groups'!$A$3:$F$20,6,FALSE),"")</f>
        <v/>
      </c>
      <c r="Y31" s="4" t="str">
        <f>_xlfn.IFNA(VLOOKUP(Table2[[#This Row],[tee time4]],'6-6-6 - groups'!$A$3:$F$20,4,FALSE),"")</f>
        <v/>
      </c>
      <c r="Z31" s="13" t="str">
        <f>_xlfn.IFNA(VLOOKUP(Table2[[#This Row],[tee time4]],'6-6-6 - groups'!$A$3:$F$20,5,FALSE),"")</f>
        <v/>
      </c>
      <c r="AA31" s="69" t="str">
        <f>IF(Table2[[#This Row],[avg gap]]&lt;&gt;"",IFERROR((MAX(starting_interval,IF(Table2[[#This Row],[gap4]]="NA",Table2[[#This Row],[avg gap]],Table2[[#This Row],[gap4]]))-starting_interval)*Table2[[#This Row],[followers4]]/Table2[[#This Row],[group size4]],""),"")</f>
        <v/>
      </c>
      <c r="AB31" s="32" t="str">
        <f>_xlfn.IFNA(VLOOKUP(Table2[[#This Row],[Name]],'Fall FD - players'!$A$2:$B$65,2,FALSE),"")</f>
        <v/>
      </c>
      <c r="AC31" s="59" t="str">
        <f>IF(Table2[[#This Row],[tee time5]]&lt;&gt;"",COUNTIF('Fall FD - players'!$B$2:$B$65,"="&amp;Table2[[#This Row],[tee time5]]),"")</f>
        <v/>
      </c>
      <c r="AD31" s="59" t="str">
        <f>_xlfn.IFNA(VLOOKUP(Table2[[#This Row],[tee time5]],'Fall FD - groups'!$A$3:$F$20,6,FALSE),"")</f>
        <v/>
      </c>
      <c r="AE31" s="4" t="str">
        <f>_xlfn.IFNA(VLOOKUP(Table2[[#This Row],[tee time5]],'Fall FD - groups'!$A$3:$F$20,4,FALSE),"")</f>
        <v/>
      </c>
      <c r="AF31" s="13" t="str">
        <f>IFERROR(MIN(_xlfn.IFNA(VLOOKUP(Table2[[#This Row],[tee time5]],'Fall FD - groups'!$A$3:$F$20,5,FALSE),""),starting_interval + Table2[[#This Row],[round5]] - standard_round_time),"")</f>
        <v/>
      </c>
      <c r="AG31" s="69" t="str">
        <f>IF(AND(Table2[[#This Row],[gap5]]="NA",Table2[[#This Row],[round5]]&lt;4/24),0,IFERROR((MAX(starting_interval,IF(Table2[[#This Row],[gap5]]="NA",Table2[[#This Row],[avg gap]],Table2[[#This Row],[gap5]]))-starting_interval)*Table2[[#This Row],[followers5]]/Table2[[#This Row],[group size5]],""))</f>
        <v/>
      </c>
      <c r="AH31" s="32" t="str">
        <f>_xlfn.IFNA(VLOOKUP(Table2[[#This Row],[Name]],'Stableford - players'!$A$2:$B$65,2,FALSE),"")</f>
        <v/>
      </c>
      <c r="AI31" s="59" t="str">
        <f>IF(Table2[[#This Row],[tee time6]]&lt;&gt;"",COUNTIF('Stableford - players'!$B$2:$B$65,"="&amp;Table2[[#This Row],[tee time6]]),"")</f>
        <v/>
      </c>
      <c r="AJ31" s="59" t="str">
        <f>_xlfn.IFNA(VLOOKUP(Table2[[#This Row],[tee time6]],'Stableford - groups'!$A$3:$F$20,6,FALSE),"")</f>
        <v/>
      </c>
      <c r="AK31" s="11" t="str">
        <f>_xlfn.IFNA(VLOOKUP(Table2[[#This Row],[tee time6]],'Stableford - groups'!$A$3:$F$20,4,FALSE),"")</f>
        <v/>
      </c>
      <c r="AL31" s="13" t="str">
        <f>_xlfn.IFNA(VLOOKUP(Table2[[#This Row],[tee time6]],'Stableford - groups'!$A$3:$F$20,5,FALSE),"")</f>
        <v/>
      </c>
      <c r="AM31" s="68" t="str">
        <f>IF(AND(Table2[[#This Row],[gap6]]="NA",Table2[[#This Row],[round6]]&lt;4/24),0,IFERROR((MAX(starting_interval,IF(Table2[[#This Row],[gap6]]="NA",Table2[[#This Row],[avg gap]],Table2[[#This Row],[gap6]]))-starting_interval)*Table2[[#This Row],[followers6]]/Table2[[#This Row],[group size6]],""))</f>
        <v/>
      </c>
      <c r="AN31" s="32" t="str">
        <f>_xlfn.IFNA(VLOOKUP(Table2[[#This Row],[Name]],'Turkey Shoot - players'!$A$2:$B$65,2,FALSE),"")</f>
        <v/>
      </c>
      <c r="AO31" s="59" t="str">
        <f>IF(Table2[[#This Row],[tee time7]]&lt;&gt;"",COUNTIF('Turkey Shoot - players'!$B$2:$B$65,"="&amp;Table2[[#This Row],[tee time7]]),"")</f>
        <v/>
      </c>
      <c r="AP31" s="59" t="str">
        <f>_xlfn.IFNA(VLOOKUP(Table2[[#This Row],[tee time7]],'Stableford - groups'!$A$3:$F$20,6,FALSE),"")</f>
        <v/>
      </c>
      <c r="AQ31" s="11" t="str">
        <f>_xlfn.IFNA(VLOOKUP(Table2[[#This Row],[tee time7]],'Turkey Shoot - groups'!$A$3:$F$20,4,FALSE),"")</f>
        <v/>
      </c>
      <c r="AR31" s="13" t="str">
        <f>_xlfn.IFNA(VLOOKUP(Table2[[#This Row],[tee time7]],'Turkey Shoot - groups'!$A$3:$F$20,5,FALSE),"")</f>
        <v/>
      </c>
      <c r="AS31" s="68" t="str">
        <f>IF(AND(Table2[[#This Row],[gap7]]="NA",Table2[[#This Row],[round7]]&lt;4/24),0,IFERROR((MAX(starting_interval,IF(Table2[[#This Row],[gap7]]="NA",Table2[[#This Row],[avg gap]],Table2[[#This Row],[gap7]]))-starting_interval)*Table2[[#This Row],[followers7]]/Table2[[#This Row],[group size7]],""))</f>
        <v/>
      </c>
      <c r="AT31" s="72">
        <f>COUNT(Table2[[#This Row],[Tee time1]],Table2[[#This Row],[tee time2]],Table2[[#This Row],[tee time3]],Table2[[#This Row],[tee time4]],Table2[[#This Row],[tee time5]],Table2[[#This Row],[tee time6]],Table2[[#This Row],[tee time7]])</f>
        <v>1</v>
      </c>
      <c r="AU31" s="4">
        <f>IFERROR(AVERAGE(Table2[[#This Row],[Tee time1]],Table2[[#This Row],[tee time2]],Table2[[#This Row],[tee time3]],Table2[[#This Row],[tee time4]],Table2[[#This Row],[tee time5]],Table2[[#This Row],[tee time6]],Table2[[#This Row],[tee time7]]),"")</f>
        <v>0.33611111111111108</v>
      </c>
      <c r="AV31" s="11">
        <f>IFERROR(MEDIAN(Table2[[#This Row],[round1]],Table2[[#This Row],[Round2]],Table2[[#This Row],[round3]],Table2[[#This Row],[round4]],Table2[[#This Row],[round5]],Table2[[#This Row],[round6]],Table2[[#This Row],[round7]]),"")</f>
        <v>0.18680555555555556</v>
      </c>
      <c r="AW31" s="11">
        <f>IFERROR(AVERAGE(Table2[[#This Row],[gap1]],Table2[[#This Row],[gap2]],Table2[[#This Row],[gap3]],Table2[[#This Row],[gap4]],Table2[[#This Row],[gap5]],Table2[[#This Row],[gap6]],Table2[[#This Row],[gap7]]),"")</f>
        <v>1.1805555555555625E-2</v>
      </c>
      <c r="AX31" s="9">
        <f>IFERROR((Table2[[#This Row],[avg gap]]-starting_interval)*24*60*Table2[[#This Row],[Count]],"NA")</f>
        <v>7.0000000000001004</v>
      </c>
      <c r="AY3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7.2916666666667712E-2</v>
      </c>
      <c r="AZ31" s="2"/>
    </row>
    <row r="32" spans="1:52" x14ac:dyDescent="0.3">
      <c r="A32" s="10" t="s">
        <v>235</v>
      </c>
      <c r="B32" s="1" t="s">
        <v>359</v>
      </c>
      <c r="C32" s="19">
        <v>15.2</v>
      </c>
      <c r="D32" s="32">
        <f>_xlfn.IFNA(VLOOKUP(Table2[[#This Row],[Name]],'Classic day 1 - players'!$A$2:$B$64,2,FALSE),"")</f>
        <v>0.39583333333333331</v>
      </c>
      <c r="E32" s="33">
        <f>IF(Table2[[#This Row],[Tee time1]]&lt;&gt;"",COUNTIF('Classic day 1 - players'!$B$2:$B$64,"="&amp;Table2[[#This Row],[Tee time1]]),"")</f>
        <v>4</v>
      </c>
      <c r="F32" s="33">
        <f>_xlfn.IFNA(VLOOKUP(Table2[[#This Row],[Tee time1]],'Classic day 1 - groups'!$A$3:$F$20,6,FALSE),"")</f>
        <v>28</v>
      </c>
      <c r="G32" s="11">
        <f>_xlfn.IFNA(VLOOKUP(Table2[[#This Row],[Tee time1]],'Classic day 1 - groups'!$A$3:$F$20,4,FALSE),"")</f>
        <v>0.20555555555555555</v>
      </c>
      <c r="H32" s="12">
        <f>_xlfn.IFNA(VLOOKUP(Table2[[#This Row],[Tee time1]],'Classic day 1 - groups'!$A$3:$F$20,5,FALSE),"")</f>
        <v>8.3333333333333037E-3</v>
      </c>
      <c r="I32" s="69">
        <f>IFERROR((MAX(starting_interval,IF(Table2[[#This Row],[gap1]]="NA",Table2[[#This Row],[avg gap]],Table2[[#This Row],[gap1]]))-starting_interval)*Table2[[#This Row],[followers1]]/Table2[[#This Row],[group size]],"")</f>
        <v>9.7222222222220177E-3</v>
      </c>
      <c r="J32" s="32">
        <f>_xlfn.IFNA(VLOOKUP(Table2[[#This Row],[Name]],'Classic day 2 - players'!$A$2:$B$64,2,FALSE),"")</f>
        <v>0.33958333333333335</v>
      </c>
      <c r="K32" s="33">
        <f>IF(Table2[[#This Row],[tee time2]]&lt;&gt;"",COUNTIF('Classic day 2 - players'!$B$2:$B$64,"="&amp;Table2[[#This Row],[tee time2]]),"")</f>
        <v>4</v>
      </c>
      <c r="L32" s="33">
        <f>_xlfn.IFNA(VLOOKUP(Table2[[#This Row],[tee time2]],'Classic day 2 - groups'!$A$3:$F$20,6,FALSE),"")</f>
        <v>48</v>
      </c>
      <c r="M32" s="4">
        <f>_xlfn.IFNA(VLOOKUP(Table2[[#This Row],[tee time2]],'Classic day 2 - groups'!$A$3:$F$20,4,FALSE),"")</f>
        <v>0.16874999999999998</v>
      </c>
      <c r="N32" s="65">
        <f>_xlfn.IFNA(VLOOKUP(Table2[[#This Row],[tee time2]],'Classic day 2 - groups'!$A$3:$F$20,5,FALSE),"")</f>
        <v>6.9444444444444441E-3</v>
      </c>
      <c r="O32" s="69">
        <f>IFERROR((MAX(starting_interval,IF(Table2[[#This Row],[gap2]]="NA",Table2[[#This Row],[avg gap]],Table2[[#This Row],[gap2]]))-starting_interval)*Table2[[#This Row],[followers2]]/Table2[[#This Row],[group size2]],"")</f>
        <v>0</v>
      </c>
      <c r="P32" s="32">
        <f>_xlfn.IFNA(VLOOKUP(Table2[[#This Row],[Name]],'Summer FD - players'!$A$2:$B$65,2,FALSE),"")</f>
        <v>0.36388888888888887</v>
      </c>
      <c r="Q32" s="59">
        <f>IF(Table2[[#This Row],[tee time3]]&lt;&gt;"",COUNTIF('Summer FD - players'!$B$2:$B$65,"="&amp;Table2[[#This Row],[tee time3]]),"")</f>
        <v>2</v>
      </c>
      <c r="R32" s="59">
        <f>_xlfn.IFNA(VLOOKUP(Table2[[#This Row],[tee time3]],'Summer FD - groups'!$A$3:$F$20,6,FALSE),"")</f>
        <v>44</v>
      </c>
      <c r="S32" s="4">
        <f>_xlfn.IFNA(VLOOKUP(Table2[[#This Row],[tee time3]],'Summer FD - groups'!$A$3:$F$20,4,FALSE),"")</f>
        <v>0.18819444444444439</v>
      </c>
      <c r="T32" s="13">
        <f>_xlfn.IFNA(VLOOKUP(Table2[[#This Row],[tee time3]],'Summer FD - groups'!$A$3:$F$20,5,FALSE),"")</f>
        <v>5.5555555555555358E-3</v>
      </c>
      <c r="U32" s="69">
        <f>IF(Table2[[#This Row],[avg gap]]&lt;&gt;"",IFERROR((MAX(starting_interval,IF(Table2[[#This Row],[gap3]]="NA",Table2[[#This Row],[avg gap]],Table2[[#This Row],[gap3]]))-starting_interval)*Table2[[#This Row],[followers3]]/Table2[[#This Row],[group size3]],""),"")</f>
        <v>0</v>
      </c>
      <c r="V32" s="32" t="str">
        <f>_xlfn.IFNA(VLOOKUP(Table2[[#This Row],[Name]],'6-6-6 - players'!$A$2:$B$69,2,FALSE),"")</f>
        <v/>
      </c>
      <c r="W32" s="59" t="str">
        <f>IF(Table2[[#This Row],[tee time4]]&lt;&gt;"",COUNTIF('6-6-6 - players'!$B$2:$B$69,"="&amp;Table2[[#This Row],[tee time4]]),"")</f>
        <v/>
      </c>
      <c r="X32" s="59" t="str">
        <f>_xlfn.IFNA(VLOOKUP(Table2[[#This Row],[tee time4]],'6-6-6 - groups'!$A$3:$F$20,6,FALSE),"")</f>
        <v/>
      </c>
      <c r="Y32" s="4" t="str">
        <f>_xlfn.IFNA(VLOOKUP(Table2[[#This Row],[tee time4]],'6-6-6 - groups'!$A$3:$F$20,4,FALSE),"")</f>
        <v/>
      </c>
      <c r="Z32" s="13" t="str">
        <f>_xlfn.IFNA(VLOOKUP(Table2[[#This Row],[tee time4]],'6-6-6 - groups'!$A$3:$F$20,5,FALSE),"")</f>
        <v/>
      </c>
      <c r="AA32" s="69" t="str">
        <f>IF(Table2[[#This Row],[avg gap]]&lt;&gt;"",IFERROR((MAX(starting_interval,IF(Table2[[#This Row],[gap4]]="NA",Table2[[#This Row],[avg gap]],Table2[[#This Row],[gap4]]))-starting_interval)*Table2[[#This Row],[followers4]]/Table2[[#This Row],[group size4]],""),"")</f>
        <v/>
      </c>
      <c r="AB32" s="32">
        <f>_xlfn.IFNA(VLOOKUP(Table2[[#This Row],[Name]],'Fall FD - players'!$A$2:$B$65,2,FALSE),"")</f>
        <v>0.39305555555555555</v>
      </c>
      <c r="AC32" s="59">
        <f>IF(Table2[[#This Row],[tee time5]]&lt;&gt;"",COUNTIF('Fall FD - players'!$B$2:$B$65,"="&amp;Table2[[#This Row],[tee time5]]),"")</f>
        <v>4</v>
      </c>
      <c r="AD32" s="59">
        <f>_xlfn.IFNA(VLOOKUP(Table2[[#This Row],[tee time5]],'Fall FD - groups'!$A$3:$F$20,6,FALSE),"")</f>
        <v>36</v>
      </c>
      <c r="AE32" s="4">
        <f>_xlfn.IFNA(VLOOKUP(Table2[[#This Row],[tee time5]],'Fall FD - groups'!$A$3:$F$20,4,FALSE),"")</f>
        <v>0.18263888888888885</v>
      </c>
      <c r="AF32" s="13">
        <f>IFERROR(MIN(_xlfn.IFNA(VLOOKUP(Table2[[#This Row],[tee time5]],'Fall FD - groups'!$A$3:$F$20,5,FALSE),""),starting_interval + Table2[[#This Row],[round5]] - standard_round_time),"")</f>
        <v>9.0277777777777457E-3</v>
      </c>
      <c r="AG32" s="69">
        <f>IF(AND(Table2[[#This Row],[gap5]]="NA",Table2[[#This Row],[round5]]&lt;4/24),0,IFERROR((MAX(starting_interval,IF(Table2[[#This Row],[gap5]]="NA",Table2[[#This Row],[avg gap]],Table2[[#This Row],[gap5]]))-starting_interval)*Table2[[#This Row],[followers5]]/Table2[[#This Row],[group size5]],""))</f>
        <v>1.8749999999999715E-2</v>
      </c>
      <c r="AH32" s="32">
        <f>_xlfn.IFNA(VLOOKUP(Table2[[#This Row],[Name]],'Stableford - players'!$A$2:$B$65,2,FALSE),"")</f>
        <v>0.38194444444444442</v>
      </c>
      <c r="AI32" s="59">
        <f>IF(Table2[[#This Row],[tee time6]]&lt;&gt;"",COUNTIF('Stableford - players'!$B$2:$B$65,"="&amp;Table2[[#This Row],[tee time6]]),"")</f>
        <v>4</v>
      </c>
      <c r="AJ32" s="59">
        <f>_xlfn.IFNA(VLOOKUP(Table2[[#This Row],[tee time6]],'Stableford - groups'!$A$3:$F$20,6,FALSE),"")</f>
        <v>32</v>
      </c>
      <c r="AK32" s="11">
        <f>_xlfn.IFNA(VLOOKUP(Table2[[#This Row],[tee time6]],'Stableford - groups'!$A$3:$F$20,4,FALSE),"")</f>
        <v>0.17291666666666666</v>
      </c>
      <c r="AL32" s="13">
        <f>_xlfn.IFNA(VLOOKUP(Table2[[#This Row],[tee time6]],'Stableford - groups'!$A$3:$F$20,5,FALSE),"")</f>
        <v>1.1111111111111183E-2</v>
      </c>
      <c r="AM32" s="68">
        <f>IF(AND(Table2[[#This Row],[gap6]]="NA",Table2[[#This Row],[round6]]&lt;4/24),0,IFERROR((MAX(starting_interval,IF(Table2[[#This Row],[gap6]]="NA",Table2[[#This Row],[avg gap]],Table2[[#This Row],[gap6]]))-starting_interval)*Table2[[#This Row],[followers6]]/Table2[[#This Row],[group size6]],""))</f>
        <v>3.3333333333333909E-2</v>
      </c>
      <c r="AN32" s="32">
        <f>_xlfn.IFNA(VLOOKUP(Table2[[#This Row],[Name]],'Turkey Shoot - players'!$A$2:$B$65,2,FALSE),"")</f>
        <v>0.40972222222222227</v>
      </c>
      <c r="AO32" s="59">
        <f>IF(Table2[[#This Row],[tee time7]]&lt;&gt;"",COUNTIF('Turkey Shoot - players'!$B$2:$B$65,"="&amp;Table2[[#This Row],[tee time7]]),"")</f>
        <v>4</v>
      </c>
      <c r="AP32" s="59">
        <f>_xlfn.IFNA(VLOOKUP(Table2[[#This Row],[tee time7]],'Stableford - groups'!$A$3:$F$20,6,FALSE),"")</f>
        <v>16</v>
      </c>
      <c r="AQ32" s="11">
        <f>_xlfn.IFNA(VLOOKUP(Table2[[#This Row],[tee time7]],'Turkey Shoot - groups'!$A$3:$F$20,4,FALSE),"")</f>
        <v>0.17569444444444443</v>
      </c>
      <c r="AR32" s="13">
        <f>_xlfn.IFNA(VLOOKUP(Table2[[#This Row],[tee time7]],'Turkey Shoot - groups'!$A$3:$F$20,5,FALSE),"")</f>
        <v>9.7222222222222224E-3</v>
      </c>
      <c r="AS32" s="68">
        <f>IF(AND(Table2[[#This Row],[gap7]]="NA",Table2[[#This Row],[round7]]&lt;4/24),0,IFERROR((MAX(starting_interval,IF(Table2[[#This Row],[gap7]]="NA",Table2[[#This Row],[avg gap]],Table2[[#This Row],[gap7]]))-starting_interval)*Table2[[#This Row],[followers7]]/Table2[[#This Row],[group size7]],""))</f>
        <v>1.1111111111111113E-2</v>
      </c>
      <c r="AT32" s="72">
        <f>COUNT(Table2[[#This Row],[Tee time1]],Table2[[#This Row],[tee time2]],Table2[[#This Row],[tee time3]],Table2[[#This Row],[tee time4]],Table2[[#This Row],[tee time5]],Table2[[#This Row],[tee time6]],Table2[[#This Row],[tee time7]])</f>
        <v>6</v>
      </c>
      <c r="AU32" s="4">
        <f>IFERROR(AVERAGE(Table2[[#This Row],[Tee time1]],Table2[[#This Row],[tee time2]],Table2[[#This Row],[tee time3]],Table2[[#This Row],[tee time4]],Table2[[#This Row],[tee time5]],Table2[[#This Row],[tee time6]],Table2[[#This Row],[tee time7]]),"")</f>
        <v>0.38067129629629631</v>
      </c>
      <c r="AV32" s="11">
        <f>IFERROR(MEDIAN(Table2[[#This Row],[round1]],Table2[[#This Row],[Round2]],Table2[[#This Row],[round3]],Table2[[#This Row],[round4]],Table2[[#This Row],[round5]],Table2[[#This Row],[round6]],Table2[[#This Row],[round7]]),"")</f>
        <v>0.17916666666666664</v>
      </c>
      <c r="AW32" s="11">
        <f>IFERROR(AVERAGE(Table2[[#This Row],[gap1]],Table2[[#This Row],[gap2]],Table2[[#This Row],[gap3]],Table2[[#This Row],[gap4]],Table2[[#This Row],[gap5]],Table2[[#This Row],[gap6]],Table2[[#This Row],[gap7]]),"")</f>
        <v>8.4490740740740724E-3</v>
      </c>
      <c r="AX32" s="9">
        <f>IFERROR((Table2[[#This Row],[avg gap]]-starting_interval)*24*60*Table2[[#This Row],[Count]],"NA")</f>
        <v>12.999999999999989</v>
      </c>
      <c r="AY3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7.2916666666666755E-2</v>
      </c>
      <c r="AZ32" s="2"/>
    </row>
    <row r="33" spans="1:52" x14ac:dyDescent="0.3">
      <c r="A33" s="10" t="s">
        <v>105</v>
      </c>
      <c r="B33" s="1" t="s">
        <v>344</v>
      </c>
      <c r="C33" s="19">
        <v>3.6</v>
      </c>
      <c r="D33" s="32">
        <f>_xlfn.IFNA(VLOOKUP(Table2[[#This Row],[Name]],'Classic day 1 - players'!$A$2:$B$64,2,FALSE),"")</f>
        <v>0.40208333333333335</v>
      </c>
      <c r="E33" s="33">
        <f>IF(Table2[[#This Row],[Tee time1]]&lt;&gt;"",COUNTIF('Classic day 1 - players'!$B$2:$B$64,"="&amp;Table2[[#This Row],[Tee time1]]),"")</f>
        <v>2</v>
      </c>
      <c r="F33" s="33">
        <f>_xlfn.IFNA(VLOOKUP(Table2[[#This Row],[Tee time1]],'Classic day 1 - groups'!$A$3:$F$20,6,FALSE),"")</f>
        <v>24</v>
      </c>
      <c r="G33" s="11">
        <f>_xlfn.IFNA(VLOOKUP(Table2[[#This Row],[Tee time1]],'Classic day 1 - groups'!$A$3:$F$20,4,FALSE),"")</f>
        <v>0.20555555555555544</v>
      </c>
      <c r="H33" s="12">
        <f>_xlfn.IFNA(VLOOKUP(Table2[[#This Row],[Tee time1]],'Classic day 1 - groups'!$A$3:$F$20,5,FALSE),"")</f>
        <v>6.9444444444444198E-3</v>
      </c>
      <c r="I33" s="69">
        <f>IFERROR((MAX(starting_interval,IF(Table2[[#This Row],[gap1]]="NA",Table2[[#This Row],[avg gap]],Table2[[#This Row],[gap1]]))-starting_interval)*Table2[[#This Row],[followers1]]/Table2[[#This Row],[group size]],"")</f>
        <v>0</v>
      </c>
      <c r="J33" s="32">
        <f>_xlfn.IFNA(VLOOKUP(Table2[[#This Row],[Name]],'Classic day 2 - players'!$A$2:$B$64,2,FALSE),"")</f>
        <v>0.39583333333333331</v>
      </c>
      <c r="K33" s="33">
        <f>IF(Table2[[#This Row],[tee time2]]&lt;&gt;"",COUNTIF('Classic day 2 - players'!$B$2:$B$64,"="&amp;Table2[[#This Row],[tee time2]]),"")</f>
        <v>4</v>
      </c>
      <c r="L33" s="33">
        <f>_xlfn.IFNA(VLOOKUP(Table2[[#This Row],[tee time2]],'Classic day 2 - groups'!$A$3:$F$20,6,FALSE),"")</f>
        <v>12</v>
      </c>
      <c r="M33" s="4">
        <f>_xlfn.IFNA(VLOOKUP(Table2[[#This Row],[tee time2]],'Classic day 2 - groups'!$A$3:$F$20,4,FALSE),"")</f>
        <v>0.18472222222222223</v>
      </c>
      <c r="N33" s="65">
        <f>_xlfn.IFNA(VLOOKUP(Table2[[#This Row],[tee time2]],'Classic day 2 - groups'!$A$3:$F$20,5,FALSE),"")</f>
        <v>4.8611111111111112E-3</v>
      </c>
      <c r="O33" s="69">
        <f>IFERROR((MAX(starting_interval,IF(Table2[[#This Row],[gap2]]="NA",Table2[[#This Row],[avg gap]],Table2[[#This Row],[gap2]]))-starting_interval)*Table2[[#This Row],[followers2]]/Table2[[#This Row],[group size2]],"")</f>
        <v>0</v>
      </c>
      <c r="P33" s="32">
        <f>_xlfn.IFNA(VLOOKUP(Table2[[#This Row],[Name]],'Summer FD - players'!$A$2:$B$65,2,FALSE),"")</f>
        <v>0.38472222222222219</v>
      </c>
      <c r="Q33" s="59">
        <f>IF(Table2[[#This Row],[tee time3]]&lt;&gt;"",COUNTIF('Summer FD - players'!$B$2:$B$65,"="&amp;Table2[[#This Row],[tee time3]]),"")</f>
        <v>4</v>
      </c>
      <c r="R33" s="59">
        <f>_xlfn.IFNA(VLOOKUP(Table2[[#This Row],[tee time3]],'Summer FD - groups'!$A$3:$F$20,6,FALSE),"")</f>
        <v>32</v>
      </c>
      <c r="S33" s="4">
        <f>_xlfn.IFNA(VLOOKUP(Table2[[#This Row],[tee time3]],'Summer FD - groups'!$A$3:$F$20,4,FALSE),"")</f>
        <v>0.1972222222222223</v>
      </c>
      <c r="T33" s="13">
        <f>_xlfn.IFNA(VLOOKUP(Table2[[#This Row],[tee time3]],'Summer FD - groups'!$A$3:$F$20,5,FALSE),"")</f>
        <v>1.5972222222222276E-2</v>
      </c>
      <c r="U33" s="69">
        <f>IF(Table2[[#This Row],[avg gap]]&lt;&gt;"",IFERROR((MAX(starting_interval,IF(Table2[[#This Row],[gap3]]="NA",Table2[[#This Row],[avg gap]],Table2[[#This Row],[gap3]]))-starting_interval)*Table2[[#This Row],[followers3]]/Table2[[#This Row],[group size3]],""),"")</f>
        <v>7.222222222222266E-2</v>
      </c>
      <c r="V33" s="32" t="str">
        <f>_xlfn.IFNA(VLOOKUP(Table2[[#This Row],[Name]],'6-6-6 - players'!$A$2:$B$69,2,FALSE),"")</f>
        <v/>
      </c>
      <c r="W33" s="59" t="str">
        <f>IF(Table2[[#This Row],[tee time4]]&lt;&gt;"",COUNTIF('6-6-6 - players'!$B$2:$B$69,"="&amp;Table2[[#This Row],[tee time4]]),"")</f>
        <v/>
      </c>
      <c r="X33" s="59" t="str">
        <f>_xlfn.IFNA(VLOOKUP(Table2[[#This Row],[tee time4]],'6-6-6 - groups'!$A$3:$F$20,6,FALSE),"")</f>
        <v/>
      </c>
      <c r="Y33" s="4" t="str">
        <f>_xlfn.IFNA(VLOOKUP(Table2[[#This Row],[tee time4]],'6-6-6 - groups'!$A$3:$F$20,4,FALSE),"")</f>
        <v/>
      </c>
      <c r="Z33" s="13" t="str">
        <f>_xlfn.IFNA(VLOOKUP(Table2[[#This Row],[tee time4]],'6-6-6 - groups'!$A$3:$F$20,5,FALSE),"")</f>
        <v/>
      </c>
      <c r="AA33" s="69" t="str">
        <f>IF(Table2[[#This Row],[avg gap]]&lt;&gt;"",IFERROR((MAX(starting_interval,IF(Table2[[#This Row],[gap4]]="NA",Table2[[#This Row],[avg gap]],Table2[[#This Row],[gap4]]))-starting_interval)*Table2[[#This Row],[followers4]]/Table2[[#This Row],[group size4]],""),"")</f>
        <v/>
      </c>
      <c r="AB33" s="32" t="str">
        <f>_xlfn.IFNA(VLOOKUP(Table2[[#This Row],[Name]],'Fall FD - players'!$A$2:$B$65,2,FALSE),"")</f>
        <v/>
      </c>
      <c r="AC33" s="59" t="str">
        <f>IF(Table2[[#This Row],[tee time5]]&lt;&gt;"",COUNTIF('Fall FD - players'!$B$2:$B$65,"="&amp;Table2[[#This Row],[tee time5]]),"")</f>
        <v/>
      </c>
      <c r="AD33" s="59" t="str">
        <f>_xlfn.IFNA(VLOOKUP(Table2[[#This Row],[tee time5]],'Fall FD - groups'!$A$3:$F$20,6,FALSE),"")</f>
        <v/>
      </c>
      <c r="AE33" s="4" t="str">
        <f>_xlfn.IFNA(VLOOKUP(Table2[[#This Row],[tee time5]],'Fall FD - groups'!$A$3:$F$20,4,FALSE),"")</f>
        <v/>
      </c>
      <c r="AF33" s="13" t="str">
        <f>IFERROR(MIN(_xlfn.IFNA(VLOOKUP(Table2[[#This Row],[tee time5]],'Fall FD - groups'!$A$3:$F$20,5,FALSE),""),starting_interval + Table2[[#This Row],[round5]] - standard_round_time),"")</f>
        <v/>
      </c>
      <c r="AG33" s="69" t="str">
        <f>IF(AND(Table2[[#This Row],[gap5]]="NA",Table2[[#This Row],[round5]]&lt;4/24),0,IFERROR((MAX(starting_interval,IF(Table2[[#This Row],[gap5]]="NA",Table2[[#This Row],[avg gap]],Table2[[#This Row],[gap5]]))-starting_interval)*Table2[[#This Row],[followers5]]/Table2[[#This Row],[group size5]],""))</f>
        <v/>
      </c>
      <c r="AH33" s="32" t="str">
        <f>_xlfn.IFNA(VLOOKUP(Table2[[#This Row],[Name]],'Stableford - players'!$A$2:$B$65,2,FALSE),"")</f>
        <v/>
      </c>
      <c r="AI33" s="59" t="str">
        <f>IF(Table2[[#This Row],[tee time6]]&lt;&gt;"",COUNTIF('Stableford - players'!$B$2:$B$65,"="&amp;Table2[[#This Row],[tee time6]]),"")</f>
        <v/>
      </c>
      <c r="AJ33" s="59" t="str">
        <f>_xlfn.IFNA(VLOOKUP(Table2[[#This Row],[tee time6]],'Stableford - groups'!$A$3:$F$20,6,FALSE),"")</f>
        <v/>
      </c>
      <c r="AK33" s="11" t="str">
        <f>_xlfn.IFNA(VLOOKUP(Table2[[#This Row],[tee time6]],'Stableford - groups'!$A$3:$F$20,4,FALSE),"")</f>
        <v/>
      </c>
      <c r="AL33" s="13" t="str">
        <f>_xlfn.IFNA(VLOOKUP(Table2[[#This Row],[tee time6]],'Stableford - groups'!$A$3:$F$20,5,FALSE),"")</f>
        <v/>
      </c>
      <c r="AM33" s="68" t="str">
        <f>IF(AND(Table2[[#This Row],[gap6]]="NA",Table2[[#This Row],[round6]]&lt;4/24),0,IFERROR((MAX(starting_interval,IF(Table2[[#This Row],[gap6]]="NA",Table2[[#This Row],[avg gap]],Table2[[#This Row],[gap6]]))-starting_interval)*Table2[[#This Row],[followers6]]/Table2[[#This Row],[group size6]],""))</f>
        <v/>
      </c>
      <c r="AN33" s="32" t="str">
        <f>_xlfn.IFNA(VLOOKUP(Table2[[#This Row],[Name]],'Turkey Shoot - players'!$A$2:$B$65,2,FALSE),"")</f>
        <v/>
      </c>
      <c r="AO33" s="59" t="str">
        <f>IF(Table2[[#This Row],[tee time7]]&lt;&gt;"",COUNTIF('Turkey Shoot - players'!$B$2:$B$65,"="&amp;Table2[[#This Row],[tee time7]]),"")</f>
        <v/>
      </c>
      <c r="AP33" s="59" t="str">
        <f>_xlfn.IFNA(VLOOKUP(Table2[[#This Row],[tee time7]],'Stableford - groups'!$A$3:$F$20,6,FALSE),"")</f>
        <v/>
      </c>
      <c r="AQ33" s="11" t="str">
        <f>_xlfn.IFNA(VLOOKUP(Table2[[#This Row],[tee time7]],'Turkey Shoot - groups'!$A$3:$F$20,4,FALSE),"")</f>
        <v/>
      </c>
      <c r="AR33" s="13" t="str">
        <f>_xlfn.IFNA(VLOOKUP(Table2[[#This Row],[tee time7]],'Turkey Shoot - groups'!$A$3:$F$20,5,FALSE),"")</f>
        <v/>
      </c>
      <c r="AS33" s="68" t="str">
        <f>IF(AND(Table2[[#This Row],[gap7]]="NA",Table2[[#This Row],[round7]]&lt;4/24),0,IFERROR((MAX(starting_interval,IF(Table2[[#This Row],[gap7]]="NA",Table2[[#This Row],[avg gap]],Table2[[#This Row],[gap7]]))-starting_interval)*Table2[[#This Row],[followers7]]/Table2[[#This Row],[group size7]],""))</f>
        <v/>
      </c>
      <c r="AT33" s="72">
        <f>COUNT(Table2[[#This Row],[Tee time1]],Table2[[#This Row],[tee time2]],Table2[[#This Row],[tee time3]],Table2[[#This Row],[tee time4]],Table2[[#This Row],[tee time5]],Table2[[#This Row],[tee time6]],Table2[[#This Row],[tee time7]])</f>
        <v>3</v>
      </c>
      <c r="AU33" s="4">
        <f>IFERROR(AVERAGE(Table2[[#This Row],[Tee time1]],Table2[[#This Row],[tee time2]],Table2[[#This Row],[tee time3]],Table2[[#This Row],[tee time4]],Table2[[#This Row],[tee time5]],Table2[[#This Row],[tee time6]],Table2[[#This Row],[tee time7]]),"")</f>
        <v>0.39421296296296293</v>
      </c>
      <c r="AV33" s="11">
        <f>IFERROR(MEDIAN(Table2[[#This Row],[round1]],Table2[[#This Row],[Round2]],Table2[[#This Row],[round3]],Table2[[#This Row],[round4]],Table2[[#This Row],[round5]],Table2[[#This Row],[round6]],Table2[[#This Row],[round7]]),"")</f>
        <v>0.1972222222222223</v>
      </c>
      <c r="AW33" s="11">
        <f>IFERROR(AVERAGE(Table2[[#This Row],[gap1]],Table2[[#This Row],[gap2]],Table2[[#This Row],[gap3]],Table2[[#This Row],[gap4]],Table2[[#This Row],[gap5]],Table2[[#This Row],[gap6]],Table2[[#This Row],[gap7]]),"")</f>
        <v>9.2592592592592692E-3</v>
      </c>
      <c r="AX33" s="9">
        <f>IFERROR((Table2[[#This Row],[avg gap]]-starting_interval)*24*60*Table2[[#This Row],[Count]],"NA")</f>
        <v>10.000000000000044</v>
      </c>
      <c r="AY3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7.222222222222266E-2</v>
      </c>
      <c r="AZ33" s="2" t="s">
        <v>487</v>
      </c>
    </row>
    <row r="34" spans="1:52" x14ac:dyDescent="0.3">
      <c r="A34" s="10" t="s">
        <v>4</v>
      </c>
      <c r="B34" s="1" t="s">
        <v>242</v>
      </c>
      <c r="C34" s="19">
        <v>5.3</v>
      </c>
      <c r="D34" s="32">
        <f>_xlfn.IFNA(VLOOKUP(Table2[[#This Row],[Name]],'Classic day 1 - players'!$A$2:$B$64,2,FALSE),"")</f>
        <v>0.33958333333333335</v>
      </c>
      <c r="E34" s="33">
        <f>IF(Table2[[#This Row],[Tee time1]]&lt;&gt;"",COUNTIF('Classic day 1 - players'!$B$2:$B$64,"="&amp;Table2[[#This Row],[Tee time1]]),"")</f>
        <v>4</v>
      </c>
      <c r="F34" s="33">
        <f>_xlfn.IFNA(VLOOKUP(Table2[[#This Row],[Tee time1]],'Classic day 1 - groups'!$A$3:$F$20,6,FALSE),"")</f>
        <v>64</v>
      </c>
      <c r="G34" s="11">
        <f>_xlfn.IFNA(VLOOKUP(Table2[[#This Row],[Tee time1]],'Classic day 1 - groups'!$A$3:$F$20,4,FALSE),"")</f>
        <v>0.19930555555555551</v>
      </c>
      <c r="H34" s="12">
        <f>_xlfn.IFNA(VLOOKUP(Table2[[#This Row],[Tee time1]],'Classic day 1 - groups'!$A$3:$F$20,5,FALSE),"")</f>
        <v>1.1111111111111072E-2</v>
      </c>
      <c r="I34" s="69">
        <f>IFERROR((MAX(starting_interval,IF(Table2[[#This Row],[gap1]]="NA",Table2[[#This Row],[avg gap]],Table2[[#This Row],[gap1]]))-starting_interval)*Table2[[#This Row],[followers1]]/Table2[[#This Row],[group size]],"")</f>
        <v>6.6666666666666041E-2</v>
      </c>
      <c r="J34" s="32">
        <f>_xlfn.IFNA(VLOOKUP(Table2[[#This Row],[Name]],'Classic day 2 - players'!$A$2:$B$64,2,FALSE),"")</f>
        <v>0.40833333333333338</v>
      </c>
      <c r="K34" s="33">
        <f>IF(Table2[[#This Row],[tee time2]]&lt;&gt;"",COUNTIF('Classic day 2 - players'!$B$2:$B$64,"="&amp;Table2[[#This Row],[tee time2]]),"")</f>
        <v>3</v>
      </c>
      <c r="L34" s="33">
        <f>_xlfn.IFNA(VLOOKUP(Table2[[#This Row],[tee time2]],'Classic day 2 - groups'!$A$3:$F$20,6,FALSE),"")</f>
        <v>4</v>
      </c>
      <c r="M34" s="4">
        <f>_xlfn.IFNA(VLOOKUP(Table2[[#This Row],[tee time2]],'Classic day 2 - groups'!$A$3:$F$20,4,FALSE),"")</f>
        <v>0.19236111111111112</v>
      </c>
      <c r="N34" s="65">
        <f>_xlfn.IFNA(VLOOKUP(Table2[[#This Row],[tee time2]],'Classic day 2 - groups'!$A$3:$F$20,5,FALSE),"")</f>
        <v>9.0277777777777787E-3</v>
      </c>
      <c r="O34" s="69">
        <f>IFERROR((MAX(starting_interval,IF(Table2[[#This Row],[gap2]]="NA",Table2[[#This Row],[avg gap]],Table2[[#This Row],[gap2]]))-starting_interval)*Table2[[#This Row],[followers2]]/Table2[[#This Row],[group size2]],"")</f>
        <v>2.7777777777777796E-3</v>
      </c>
      <c r="P34" s="32" t="str">
        <f>_xlfn.IFNA(VLOOKUP(Table2[[#This Row],[Name]],'Summer FD - players'!$A$2:$B$65,2,FALSE),"")</f>
        <v/>
      </c>
      <c r="Q34" s="59" t="str">
        <f>IF(Table2[[#This Row],[tee time3]]&lt;&gt;"",COUNTIF('Summer FD - players'!$B$2:$B$65,"="&amp;Table2[[#This Row],[tee time3]]),"")</f>
        <v/>
      </c>
      <c r="R34" s="59" t="str">
        <f>_xlfn.IFNA(VLOOKUP(Table2[[#This Row],[tee time3]],'Summer FD - groups'!$A$3:$F$20,6,FALSE),"")</f>
        <v/>
      </c>
      <c r="S34" s="4" t="str">
        <f>_xlfn.IFNA(VLOOKUP(Table2[[#This Row],[tee time3]],'Summer FD - groups'!$A$3:$F$20,4,FALSE),"")</f>
        <v/>
      </c>
      <c r="T34" s="13" t="str">
        <f>_xlfn.IFNA(VLOOKUP(Table2[[#This Row],[tee time3]],'Summer FD - groups'!$A$3:$F$20,5,FALSE),"")</f>
        <v/>
      </c>
      <c r="U34" s="69" t="str">
        <f>IF(Table2[[#This Row],[avg gap]]&lt;&gt;"",IFERROR((MAX(starting_interval,IF(Table2[[#This Row],[gap3]]="NA",Table2[[#This Row],[avg gap]],Table2[[#This Row],[gap3]]))-starting_interval)*Table2[[#This Row],[followers3]]/Table2[[#This Row],[group size3]],""),"")</f>
        <v/>
      </c>
      <c r="V34" s="32" t="str">
        <f>_xlfn.IFNA(VLOOKUP(Table2[[#This Row],[Name]],'6-6-6 - players'!$A$2:$B$69,2,FALSE),"")</f>
        <v/>
      </c>
      <c r="W34" s="59" t="str">
        <f>IF(Table2[[#This Row],[tee time4]]&lt;&gt;"",COUNTIF('6-6-6 - players'!$B$2:$B$69,"="&amp;Table2[[#This Row],[tee time4]]),"")</f>
        <v/>
      </c>
      <c r="X34" s="59" t="str">
        <f>_xlfn.IFNA(VLOOKUP(Table2[[#This Row],[tee time4]],'6-6-6 - groups'!$A$3:$F$20,6,FALSE),"")</f>
        <v/>
      </c>
      <c r="Y34" s="4" t="str">
        <f>_xlfn.IFNA(VLOOKUP(Table2[[#This Row],[tee time4]],'6-6-6 - groups'!$A$3:$F$20,4,FALSE),"")</f>
        <v/>
      </c>
      <c r="Z34" s="13" t="str">
        <f>_xlfn.IFNA(VLOOKUP(Table2[[#This Row],[tee time4]],'6-6-6 - groups'!$A$3:$F$20,5,FALSE),"")</f>
        <v/>
      </c>
      <c r="AA34" s="69" t="str">
        <f>IF(Table2[[#This Row],[avg gap]]&lt;&gt;"",IFERROR((MAX(starting_interval,IF(Table2[[#This Row],[gap4]]="NA",Table2[[#This Row],[avg gap]],Table2[[#This Row],[gap4]]))-starting_interval)*Table2[[#This Row],[followers4]]/Table2[[#This Row],[group size4]],""),"")</f>
        <v/>
      </c>
      <c r="AB34" s="32" t="str">
        <f>_xlfn.IFNA(VLOOKUP(Table2[[#This Row],[Name]],'Fall FD - players'!$A$2:$B$65,2,FALSE),"")</f>
        <v/>
      </c>
      <c r="AC34" s="59" t="str">
        <f>IF(Table2[[#This Row],[tee time5]]&lt;&gt;"",COUNTIF('Fall FD - players'!$B$2:$B$65,"="&amp;Table2[[#This Row],[tee time5]]),"")</f>
        <v/>
      </c>
      <c r="AD34" s="59" t="str">
        <f>_xlfn.IFNA(VLOOKUP(Table2[[#This Row],[tee time5]],'Fall FD - groups'!$A$3:$F$20,6,FALSE),"")</f>
        <v/>
      </c>
      <c r="AE34" s="4" t="str">
        <f>_xlfn.IFNA(VLOOKUP(Table2[[#This Row],[tee time5]],'Fall FD - groups'!$A$3:$F$20,4,FALSE),"")</f>
        <v/>
      </c>
      <c r="AF34" s="13" t="str">
        <f>IFERROR(MIN(_xlfn.IFNA(VLOOKUP(Table2[[#This Row],[tee time5]],'Fall FD - groups'!$A$3:$F$20,5,FALSE),""),starting_interval + Table2[[#This Row],[round5]] - standard_round_time),"")</f>
        <v/>
      </c>
      <c r="AG34" s="69" t="str">
        <f>IF(AND(Table2[[#This Row],[gap5]]="NA",Table2[[#This Row],[round5]]&lt;4/24),0,IFERROR((MAX(starting_interval,IF(Table2[[#This Row],[gap5]]="NA",Table2[[#This Row],[avg gap]],Table2[[#This Row],[gap5]]))-starting_interval)*Table2[[#This Row],[followers5]]/Table2[[#This Row],[group size5]],""))</f>
        <v/>
      </c>
      <c r="AH34" s="32" t="str">
        <f>_xlfn.IFNA(VLOOKUP(Table2[[#This Row],[Name]],'Stableford - players'!$A$2:$B$65,2,FALSE),"")</f>
        <v/>
      </c>
      <c r="AI34" s="59" t="str">
        <f>IF(Table2[[#This Row],[tee time6]]&lt;&gt;"",COUNTIF('Stableford - players'!$B$2:$B$65,"="&amp;Table2[[#This Row],[tee time6]]),"")</f>
        <v/>
      </c>
      <c r="AJ34" s="59" t="str">
        <f>_xlfn.IFNA(VLOOKUP(Table2[[#This Row],[tee time6]],'Stableford - groups'!$A$3:$F$20,6,FALSE),"")</f>
        <v/>
      </c>
      <c r="AK34" s="11" t="str">
        <f>_xlfn.IFNA(VLOOKUP(Table2[[#This Row],[tee time6]],'Stableford - groups'!$A$3:$F$20,4,FALSE),"")</f>
        <v/>
      </c>
      <c r="AL34" s="13" t="str">
        <f>_xlfn.IFNA(VLOOKUP(Table2[[#This Row],[tee time6]],'Stableford - groups'!$A$3:$F$20,5,FALSE),"")</f>
        <v/>
      </c>
      <c r="AM34" s="68" t="str">
        <f>IF(AND(Table2[[#This Row],[gap6]]="NA",Table2[[#This Row],[round6]]&lt;4/24),0,IFERROR((MAX(starting_interval,IF(Table2[[#This Row],[gap6]]="NA",Table2[[#This Row],[avg gap]],Table2[[#This Row],[gap6]]))-starting_interval)*Table2[[#This Row],[followers6]]/Table2[[#This Row],[group size6]],""))</f>
        <v/>
      </c>
      <c r="AN34" s="32" t="str">
        <f>_xlfn.IFNA(VLOOKUP(Table2[[#This Row],[Name]],'Turkey Shoot - players'!$A$2:$B$65,2,FALSE),"")</f>
        <v/>
      </c>
      <c r="AO34" s="59" t="str">
        <f>IF(Table2[[#This Row],[tee time7]]&lt;&gt;"",COUNTIF('Turkey Shoot - players'!$B$2:$B$65,"="&amp;Table2[[#This Row],[tee time7]]),"")</f>
        <v/>
      </c>
      <c r="AP34" s="59" t="str">
        <f>_xlfn.IFNA(VLOOKUP(Table2[[#This Row],[tee time7]],'Stableford - groups'!$A$3:$F$20,6,FALSE),"")</f>
        <v/>
      </c>
      <c r="AQ34" s="11" t="str">
        <f>_xlfn.IFNA(VLOOKUP(Table2[[#This Row],[tee time7]],'Turkey Shoot - groups'!$A$3:$F$20,4,FALSE),"")</f>
        <v/>
      </c>
      <c r="AR34" s="13" t="str">
        <f>_xlfn.IFNA(VLOOKUP(Table2[[#This Row],[tee time7]],'Turkey Shoot - groups'!$A$3:$F$20,5,FALSE),"")</f>
        <v/>
      </c>
      <c r="AS34" s="68" t="str">
        <f>IF(AND(Table2[[#This Row],[gap7]]="NA",Table2[[#This Row],[round7]]&lt;4/24),0,IFERROR((MAX(starting_interval,IF(Table2[[#This Row],[gap7]]="NA",Table2[[#This Row],[avg gap]],Table2[[#This Row],[gap7]]))-starting_interval)*Table2[[#This Row],[followers7]]/Table2[[#This Row],[group size7]],""))</f>
        <v/>
      </c>
      <c r="AT34" s="72">
        <f>COUNT(Table2[[#This Row],[Tee time1]],Table2[[#This Row],[tee time2]],Table2[[#This Row],[tee time3]],Table2[[#This Row],[tee time4]],Table2[[#This Row],[tee time5]],Table2[[#This Row],[tee time6]],Table2[[#This Row],[tee time7]])</f>
        <v>2</v>
      </c>
      <c r="AU34" s="4">
        <f>IFERROR(AVERAGE(Table2[[#This Row],[Tee time1]],Table2[[#This Row],[tee time2]],Table2[[#This Row],[tee time3]],Table2[[#This Row],[tee time4]],Table2[[#This Row],[tee time5]],Table2[[#This Row],[tee time6]],Table2[[#This Row],[tee time7]]),"")</f>
        <v>0.37395833333333339</v>
      </c>
      <c r="AV34" s="12">
        <f>IFERROR(MEDIAN(Table2[[#This Row],[round1]],Table2[[#This Row],[Round2]],Table2[[#This Row],[round3]],Table2[[#This Row],[round4]],Table2[[#This Row],[round5]],Table2[[#This Row],[round6]],Table2[[#This Row],[round7]]),"")</f>
        <v>0.1958333333333333</v>
      </c>
      <c r="AW34" s="11">
        <f>IFERROR(AVERAGE(Table2[[#This Row],[gap1]],Table2[[#This Row],[gap2]],Table2[[#This Row],[gap3]],Table2[[#This Row],[gap4]],Table2[[#This Row],[gap5]],Table2[[#This Row],[gap6]],Table2[[#This Row],[gap7]]),"")</f>
        <v>1.0069444444444426E-2</v>
      </c>
      <c r="AX34" s="9">
        <f>IFERROR((Table2[[#This Row],[avg gap]]-starting_interval)*24*60*Table2[[#This Row],[Count]],"NA")</f>
        <v>8.9999999999999485</v>
      </c>
      <c r="AY3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6.9444444444443823E-2</v>
      </c>
      <c r="AZ34" s="2"/>
    </row>
    <row r="35" spans="1:52" x14ac:dyDescent="0.3">
      <c r="A35" s="10" t="s">
        <v>201</v>
      </c>
      <c r="B35" s="1" t="s">
        <v>442</v>
      </c>
      <c r="C35" s="19">
        <v>16.899999999999999</v>
      </c>
      <c r="D35" s="32">
        <f>_xlfn.IFNA(VLOOKUP(Table2[[#This Row],[Name]],'Classic day 1 - players'!$A$2:$B$64,2,FALSE),"")</f>
        <v>0.40208333333333335</v>
      </c>
      <c r="E35" s="33">
        <f>IF(Table2[[#This Row],[Tee time1]]&lt;&gt;"",COUNTIF('Classic day 1 - players'!$B$2:$B$64,"="&amp;Table2[[#This Row],[Tee time1]]),"")</f>
        <v>2</v>
      </c>
      <c r="F35" s="33">
        <f>_xlfn.IFNA(VLOOKUP(Table2[[#This Row],[Tee time1]],'Classic day 1 - groups'!$A$3:$F$20,6,FALSE),"")</f>
        <v>24</v>
      </c>
      <c r="G35" s="11">
        <f>_xlfn.IFNA(VLOOKUP(Table2[[#This Row],[Tee time1]],'Classic day 1 - groups'!$A$3:$F$20,4,FALSE),"")</f>
        <v>0.20555555555555544</v>
      </c>
      <c r="H35" s="12">
        <f>_xlfn.IFNA(VLOOKUP(Table2[[#This Row],[Tee time1]],'Classic day 1 - groups'!$A$3:$F$20,5,FALSE),"")</f>
        <v>6.9444444444444198E-3</v>
      </c>
      <c r="I35" s="69">
        <f>IFERROR((MAX(starting_interval,IF(Table2[[#This Row],[gap1]]="NA",Table2[[#This Row],[avg gap]],Table2[[#This Row],[gap1]]))-starting_interval)*Table2[[#This Row],[followers1]]/Table2[[#This Row],[group size]],"")</f>
        <v>0</v>
      </c>
      <c r="J35" s="32">
        <f>_xlfn.IFNA(VLOOKUP(Table2[[#This Row],[Name]],'Classic day 2 - players'!$A$2:$B$64,2,FALSE),"")</f>
        <v>0.36458333333333331</v>
      </c>
      <c r="K35" s="33">
        <f>IF(Table2[[#This Row],[tee time2]]&lt;&gt;"",COUNTIF('Classic day 2 - players'!$B$2:$B$64,"="&amp;Table2[[#This Row],[tee time2]]),"")</f>
        <v>4</v>
      </c>
      <c r="L35" s="33">
        <f>_xlfn.IFNA(VLOOKUP(Table2[[#This Row],[tee time2]],'Classic day 2 - groups'!$A$3:$F$20,6,FALSE),"")</f>
        <v>32</v>
      </c>
      <c r="M35" s="4">
        <f>_xlfn.IFNA(VLOOKUP(Table2[[#This Row],[tee time2]],'Classic day 2 - groups'!$A$3:$F$20,4,FALSE),"")</f>
        <v>0.19027777777777777</v>
      </c>
      <c r="N35" s="65">
        <f>_xlfn.IFNA(VLOOKUP(Table2[[#This Row],[tee time2]],'Classic day 2 - groups'!$A$3:$F$20,5,FALSE),"")</f>
        <v>1.2499999999999999E-2</v>
      </c>
      <c r="O35" s="69">
        <f>IFERROR((MAX(starting_interval,IF(Table2[[#This Row],[gap2]]="NA",Table2[[#This Row],[avg gap]],Table2[[#This Row],[gap2]]))-starting_interval)*Table2[[#This Row],[followers2]]/Table2[[#This Row],[group size2]],"")</f>
        <v>4.4444444444444439E-2</v>
      </c>
      <c r="P35" s="32">
        <f>_xlfn.IFNA(VLOOKUP(Table2[[#This Row],[Name]],'Summer FD - players'!$A$2:$B$65,2,FALSE),"")</f>
        <v>0.37777777777777777</v>
      </c>
      <c r="Q35" s="59">
        <f>IF(Table2[[#This Row],[tee time3]]&lt;&gt;"",COUNTIF('Summer FD - players'!$B$2:$B$65,"="&amp;Table2[[#This Row],[tee time3]]),"")</f>
        <v>4</v>
      </c>
      <c r="R35" s="59">
        <f>_xlfn.IFNA(VLOOKUP(Table2[[#This Row],[tee time3]],'Summer FD - groups'!$A$3:$F$20,6,FALSE),"")</f>
        <v>36</v>
      </c>
      <c r="S35" s="4">
        <f>_xlfn.IFNA(VLOOKUP(Table2[[#This Row],[tee time3]],'Summer FD - groups'!$A$3:$F$20,4,FALSE),"")</f>
        <v>0.18819444444444444</v>
      </c>
      <c r="T35" s="13">
        <f>_xlfn.IFNA(VLOOKUP(Table2[[#This Row],[tee time3]],'Summer FD - groups'!$A$3:$F$20,5,FALSE),"")</f>
        <v>5.5555555555555358E-3</v>
      </c>
      <c r="U35" s="69">
        <f>IF(Table2[[#This Row],[avg gap]]&lt;&gt;"",IFERROR((MAX(starting_interval,IF(Table2[[#This Row],[gap3]]="NA",Table2[[#This Row],[avg gap]],Table2[[#This Row],[gap3]]))-starting_interval)*Table2[[#This Row],[followers3]]/Table2[[#This Row],[group size3]],""),"")</f>
        <v>0</v>
      </c>
      <c r="V35" s="32" t="str">
        <f>_xlfn.IFNA(VLOOKUP(Table2[[#This Row],[Name]],'6-6-6 - players'!$A$2:$B$69,2,FALSE),"")</f>
        <v/>
      </c>
      <c r="W35" s="59" t="str">
        <f>IF(Table2[[#This Row],[tee time4]]&lt;&gt;"",COUNTIF('6-6-6 - players'!$B$2:$B$69,"="&amp;Table2[[#This Row],[tee time4]]),"")</f>
        <v/>
      </c>
      <c r="X35" s="59" t="str">
        <f>_xlfn.IFNA(VLOOKUP(Table2[[#This Row],[tee time4]],'6-6-6 - groups'!$A$3:$F$20,6,FALSE),"")</f>
        <v/>
      </c>
      <c r="Y35" s="4" t="str">
        <f>_xlfn.IFNA(VLOOKUP(Table2[[#This Row],[tee time4]],'6-6-6 - groups'!$A$3:$F$20,4,FALSE),"")</f>
        <v/>
      </c>
      <c r="Z35" s="13" t="str">
        <f>_xlfn.IFNA(VLOOKUP(Table2[[#This Row],[tee time4]],'6-6-6 - groups'!$A$3:$F$20,5,FALSE),"")</f>
        <v/>
      </c>
      <c r="AA35" s="69" t="str">
        <f>IF(Table2[[#This Row],[avg gap]]&lt;&gt;"",IFERROR((MAX(starting_interval,IF(Table2[[#This Row],[gap4]]="NA",Table2[[#This Row],[avg gap]],Table2[[#This Row],[gap4]]))-starting_interval)*Table2[[#This Row],[followers4]]/Table2[[#This Row],[group size4]],""),"")</f>
        <v/>
      </c>
      <c r="AB35" s="32">
        <f>_xlfn.IFNA(VLOOKUP(Table2[[#This Row],[Name]],'Fall FD - players'!$A$2:$B$65,2,FALSE),"")</f>
        <v>0.39305555555555555</v>
      </c>
      <c r="AC35" s="59">
        <f>IF(Table2[[#This Row],[tee time5]]&lt;&gt;"",COUNTIF('Fall FD - players'!$B$2:$B$65,"="&amp;Table2[[#This Row],[tee time5]]),"")</f>
        <v>4</v>
      </c>
      <c r="AD35" s="59">
        <f>_xlfn.IFNA(VLOOKUP(Table2[[#This Row],[tee time5]],'Fall FD - groups'!$A$3:$F$20,6,FALSE),"")</f>
        <v>36</v>
      </c>
      <c r="AE35" s="4">
        <f>_xlfn.IFNA(VLOOKUP(Table2[[#This Row],[tee time5]],'Fall FD - groups'!$A$3:$F$20,4,FALSE),"")</f>
        <v>0.18263888888888885</v>
      </c>
      <c r="AF35" s="13">
        <f>IFERROR(MIN(_xlfn.IFNA(VLOOKUP(Table2[[#This Row],[tee time5]],'Fall FD - groups'!$A$3:$F$20,5,FALSE),""),starting_interval + Table2[[#This Row],[round5]] - standard_round_time),"")</f>
        <v>9.0277777777777457E-3</v>
      </c>
      <c r="AG35" s="69">
        <f>IF(AND(Table2[[#This Row],[gap5]]="NA",Table2[[#This Row],[round5]]&lt;4/24),0,IFERROR((MAX(starting_interval,IF(Table2[[#This Row],[gap5]]="NA",Table2[[#This Row],[avg gap]],Table2[[#This Row],[gap5]]))-starting_interval)*Table2[[#This Row],[followers5]]/Table2[[#This Row],[group size5]],""))</f>
        <v>1.8749999999999715E-2</v>
      </c>
      <c r="AH35" s="32" t="str">
        <f>_xlfn.IFNA(VLOOKUP(Table2[[#This Row],[Name]],'Stableford - players'!$A$2:$B$65,2,FALSE),"")</f>
        <v/>
      </c>
      <c r="AI35" s="59" t="str">
        <f>IF(Table2[[#This Row],[tee time6]]&lt;&gt;"",COUNTIF('Stableford - players'!$B$2:$B$65,"="&amp;Table2[[#This Row],[tee time6]]),"")</f>
        <v/>
      </c>
      <c r="AJ35" s="59" t="str">
        <f>_xlfn.IFNA(VLOOKUP(Table2[[#This Row],[tee time6]],'Stableford - groups'!$A$3:$F$20,6,FALSE),"")</f>
        <v/>
      </c>
      <c r="AK35" s="11" t="str">
        <f>_xlfn.IFNA(VLOOKUP(Table2[[#This Row],[tee time6]],'Stableford - groups'!$A$3:$F$20,4,FALSE),"")</f>
        <v/>
      </c>
      <c r="AL35" s="13" t="str">
        <f>_xlfn.IFNA(VLOOKUP(Table2[[#This Row],[tee time6]],'Stableford - groups'!$A$3:$F$20,5,FALSE),"")</f>
        <v/>
      </c>
      <c r="AM35" s="68" t="str">
        <f>IF(AND(Table2[[#This Row],[gap6]]="NA",Table2[[#This Row],[round6]]&lt;4/24),0,IFERROR((MAX(starting_interval,IF(Table2[[#This Row],[gap6]]="NA",Table2[[#This Row],[avg gap]],Table2[[#This Row],[gap6]]))-starting_interval)*Table2[[#This Row],[followers6]]/Table2[[#This Row],[group size6]],""))</f>
        <v/>
      </c>
      <c r="AN35" s="32" t="str">
        <f>_xlfn.IFNA(VLOOKUP(Table2[[#This Row],[Name]],'Turkey Shoot - players'!$A$2:$B$65,2,FALSE),"")</f>
        <v/>
      </c>
      <c r="AO35" s="59" t="str">
        <f>IF(Table2[[#This Row],[tee time7]]&lt;&gt;"",COUNTIF('Turkey Shoot - players'!$B$2:$B$65,"="&amp;Table2[[#This Row],[tee time7]]),"")</f>
        <v/>
      </c>
      <c r="AP35" s="59" t="str">
        <f>_xlfn.IFNA(VLOOKUP(Table2[[#This Row],[tee time7]],'Stableford - groups'!$A$3:$F$20,6,FALSE),"")</f>
        <v/>
      </c>
      <c r="AQ35" s="11" t="str">
        <f>_xlfn.IFNA(VLOOKUP(Table2[[#This Row],[tee time7]],'Turkey Shoot - groups'!$A$3:$F$20,4,FALSE),"")</f>
        <v/>
      </c>
      <c r="AR35" s="13" t="str">
        <f>_xlfn.IFNA(VLOOKUP(Table2[[#This Row],[tee time7]],'Turkey Shoot - groups'!$A$3:$F$20,5,FALSE),"")</f>
        <v/>
      </c>
      <c r="AS35" s="68" t="str">
        <f>IF(AND(Table2[[#This Row],[gap7]]="NA",Table2[[#This Row],[round7]]&lt;4/24),0,IFERROR((MAX(starting_interval,IF(Table2[[#This Row],[gap7]]="NA",Table2[[#This Row],[avg gap]],Table2[[#This Row],[gap7]]))-starting_interval)*Table2[[#This Row],[followers7]]/Table2[[#This Row],[group size7]],""))</f>
        <v/>
      </c>
      <c r="AT35" s="72">
        <f>COUNT(Table2[[#This Row],[Tee time1]],Table2[[#This Row],[tee time2]],Table2[[#This Row],[tee time3]],Table2[[#This Row],[tee time4]],Table2[[#This Row],[tee time5]],Table2[[#This Row],[tee time6]],Table2[[#This Row],[tee time7]])</f>
        <v>4</v>
      </c>
      <c r="AU35" s="4">
        <f>IFERROR(AVERAGE(Table2[[#This Row],[Tee time1]],Table2[[#This Row],[tee time2]],Table2[[#This Row],[tee time3]],Table2[[#This Row],[tee time4]],Table2[[#This Row],[tee time5]],Table2[[#This Row],[tee time6]],Table2[[#This Row],[tee time7]]),"")</f>
        <v>0.38437499999999997</v>
      </c>
      <c r="AV35" s="12">
        <f>IFERROR(MEDIAN(Table2[[#This Row],[round1]],Table2[[#This Row],[Round2]],Table2[[#This Row],[round3]],Table2[[#This Row],[round4]],Table2[[#This Row],[round5]],Table2[[#This Row],[round6]],Table2[[#This Row],[round7]]),"")</f>
        <v>0.1892361111111111</v>
      </c>
      <c r="AW35" s="11">
        <f>IFERROR(AVERAGE(Table2[[#This Row],[gap1]],Table2[[#This Row],[gap2]],Table2[[#This Row],[gap3]],Table2[[#This Row],[gap4]],Table2[[#This Row],[gap5]],Table2[[#This Row],[gap6]],Table2[[#This Row],[gap7]]),"")</f>
        <v>8.5069444444444246E-3</v>
      </c>
      <c r="AX35" s="9">
        <f>IFERROR((Table2[[#This Row],[avg gap]]-starting_interval)*24*60*Table2[[#This Row],[Count]],"NA")</f>
        <v>8.9999999999998881</v>
      </c>
      <c r="AY3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6.3194444444444151E-2</v>
      </c>
      <c r="AZ35" s="2"/>
    </row>
    <row r="36" spans="1:52" x14ac:dyDescent="0.3">
      <c r="A36" s="10" t="s">
        <v>119</v>
      </c>
      <c r="B36" s="1" t="s">
        <v>358</v>
      </c>
      <c r="C36" s="19">
        <v>13.8</v>
      </c>
      <c r="D36" s="32">
        <f>_xlfn.IFNA(VLOOKUP(Table2[[#This Row],[Name]],'Classic day 1 - players'!$A$2:$B$64,2,FALSE),"")</f>
        <v>0.39583333333333331</v>
      </c>
      <c r="E36" s="33">
        <f>IF(Table2[[#This Row],[Tee time1]]&lt;&gt;"",COUNTIF('Classic day 1 - players'!$B$2:$B$64,"="&amp;Table2[[#This Row],[Tee time1]]),"")</f>
        <v>4</v>
      </c>
      <c r="F36" s="33">
        <f>_xlfn.IFNA(VLOOKUP(Table2[[#This Row],[Tee time1]],'Classic day 1 - groups'!$A$3:$F$20,6,FALSE),"")</f>
        <v>28</v>
      </c>
      <c r="G36" s="11">
        <f>_xlfn.IFNA(VLOOKUP(Table2[[#This Row],[Tee time1]],'Classic day 1 - groups'!$A$3:$F$20,4,FALSE),"")</f>
        <v>0.20555555555555555</v>
      </c>
      <c r="H36" s="12">
        <f>_xlfn.IFNA(VLOOKUP(Table2[[#This Row],[Tee time1]],'Classic day 1 - groups'!$A$3:$F$20,5,FALSE),"")</f>
        <v>8.3333333333333037E-3</v>
      </c>
      <c r="I36" s="69">
        <f>IFERROR((MAX(starting_interval,IF(Table2[[#This Row],[gap1]]="NA",Table2[[#This Row],[avg gap]],Table2[[#This Row],[gap1]]))-starting_interval)*Table2[[#This Row],[followers1]]/Table2[[#This Row],[group size]],"")</f>
        <v>9.7222222222220177E-3</v>
      </c>
      <c r="J36" s="32" t="str">
        <f>_xlfn.IFNA(VLOOKUP(Table2[[#This Row],[Name]],'Classic day 2 - players'!$A$2:$B$64,2,FALSE),"")</f>
        <v/>
      </c>
      <c r="K36" s="33" t="str">
        <f>IF(Table2[[#This Row],[tee time2]]&lt;&gt;"",COUNTIF('Classic day 2 - players'!$B$2:$B$64,"="&amp;Table2[[#This Row],[tee time2]]),"")</f>
        <v/>
      </c>
      <c r="L36" s="33" t="str">
        <f>_xlfn.IFNA(VLOOKUP(Table2[[#This Row],[tee time2]],'Classic day 2 - groups'!$A$3:$F$20,6,FALSE),"")</f>
        <v/>
      </c>
      <c r="M36" s="4" t="str">
        <f>_xlfn.IFNA(VLOOKUP(Table2[[#This Row],[tee time2]],'Classic day 2 - groups'!$A$3:$F$20,4,FALSE),"")</f>
        <v/>
      </c>
      <c r="N36" s="65" t="str">
        <f>_xlfn.IFNA(VLOOKUP(Table2[[#This Row],[tee time2]],'Classic day 2 - groups'!$A$3:$F$20,5,FALSE),"")</f>
        <v/>
      </c>
      <c r="O36" s="69" t="str">
        <f>IFERROR((MAX(starting_interval,IF(Table2[[#This Row],[gap2]]="NA",Table2[[#This Row],[avg gap]],Table2[[#This Row],[gap2]]))-starting_interval)*Table2[[#This Row],[followers2]]/Table2[[#This Row],[group size2]],"")</f>
        <v/>
      </c>
      <c r="P36" s="32">
        <f>_xlfn.IFNA(VLOOKUP(Table2[[#This Row],[Name]],'Summer FD - players'!$A$2:$B$65,2,FALSE),"")</f>
        <v>0.4055555555555555</v>
      </c>
      <c r="Q36" s="59">
        <f>IF(Table2[[#This Row],[tee time3]]&lt;&gt;"",COUNTIF('Summer FD - players'!$B$2:$B$65,"="&amp;Table2[[#This Row],[tee time3]]),"")</f>
        <v>4</v>
      </c>
      <c r="R36" s="59">
        <f>_xlfn.IFNA(VLOOKUP(Table2[[#This Row],[tee time3]],'Summer FD - groups'!$A$3:$F$20,6,FALSE),"")</f>
        <v>20</v>
      </c>
      <c r="S36" s="4">
        <f>_xlfn.IFNA(VLOOKUP(Table2[[#This Row],[tee time3]],'Summer FD - groups'!$A$3:$F$20,4,FALSE),"")</f>
        <v>0.19791666666666669</v>
      </c>
      <c r="T36" s="13">
        <f>_xlfn.IFNA(VLOOKUP(Table2[[#This Row],[tee time3]],'Summer FD - groups'!$A$3:$F$20,5,FALSE),"")</f>
        <v>9.0277777777777457E-3</v>
      </c>
      <c r="U36" s="69">
        <f>IF(Table2[[#This Row],[avg gap]]&lt;&gt;"",IFERROR((MAX(starting_interval,IF(Table2[[#This Row],[gap3]]="NA",Table2[[#This Row],[avg gap]],Table2[[#This Row],[gap3]]))-starting_interval)*Table2[[#This Row],[followers3]]/Table2[[#This Row],[group size3]],""),"")</f>
        <v>1.0416666666666508E-2</v>
      </c>
      <c r="V36" s="32">
        <f>_xlfn.IFNA(VLOOKUP(Table2[[#This Row],[Name]],'6-6-6 - players'!$A$2:$B$69,2,FALSE),"")</f>
        <v>0.41666666666666669</v>
      </c>
      <c r="W36" s="59">
        <f>IF(Table2[[#This Row],[tee time4]]&lt;&gt;"",COUNTIF('6-6-6 - players'!$B$2:$B$69,"="&amp;Table2[[#This Row],[tee time4]]),"")</f>
        <v>4</v>
      </c>
      <c r="X36" s="59">
        <f>_xlfn.IFNA(VLOOKUP(Table2[[#This Row],[tee time4]],'6-6-6 - groups'!$A$3:$F$20,6,FALSE),"")</f>
        <v>20</v>
      </c>
      <c r="Y36" s="4">
        <f>_xlfn.IFNA(VLOOKUP(Table2[[#This Row],[tee time4]],'6-6-6 - groups'!$A$3:$F$20,4,FALSE),"")</f>
        <v>0.17638888888888887</v>
      </c>
      <c r="Z36" s="13">
        <f>_xlfn.IFNA(VLOOKUP(Table2[[#This Row],[tee time4]],'6-6-6 - groups'!$A$3:$F$20,5,FALSE),"")</f>
        <v>1.1805555555555625E-2</v>
      </c>
      <c r="AA36" s="69">
        <f>IF(Table2[[#This Row],[avg gap]]&lt;&gt;"",IFERROR((MAX(starting_interval,IF(Table2[[#This Row],[gap4]]="NA",Table2[[#This Row],[avg gap]],Table2[[#This Row],[gap4]]))-starting_interval)*Table2[[#This Row],[followers4]]/Table2[[#This Row],[group size4]],""),"")</f>
        <v>2.4305555555555903E-2</v>
      </c>
      <c r="AB36" s="32">
        <f>_xlfn.IFNA(VLOOKUP(Table2[[#This Row],[Name]],'Fall FD - players'!$A$2:$B$65,2,FALSE),"")</f>
        <v>0.39305555555555555</v>
      </c>
      <c r="AC36" s="59">
        <f>IF(Table2[[#This Row],[tee time5]]&lt;&gt;"",COUNTIF('Fall FD - players'!$B$2:$B$65,"="&amp;Table2[[#This Row],[tee time5]]),"")</f>
        <v>4</v>
      </c>
      <c r="AD36" s="59">
        <f>_xlfn.IFNA(VLOOKUP(Table2[[#This Row],[tee time5]],'Fall FD - groups'!$A$3:$F$20,6,FALSE),"")</f>
        <v>36</v>
      </c>
      <c r="AE36" s="4">
        <f>_xlfn.IFNA(VLOOKUP(Table2[[#This Row],[tee time5]],'Fall FD - groups'!$A$3:$F$20,4,FALSE),"")</f>
        <v>0.18263888888888885</v>
      </c>
      <c r="AF36" s="13">
        <f>IFERROR(MIN(_xlfn.IFNA(VLOOKUP(Table2[[#This Row],[tee time5]],'Fall FD - groups'!$A$3:$F$20,5,FALSE),""),starting_interval + Table2[[#This Row],[round5]] - standard_round_time),"")</f>
        <v>9.0277777777777457E-3</v>
      </c>
      <c r="AG36" s="69">
        <f>IF(AND(Table2[[#This Row],[gap5]]="NA",Table2[[#This Row],[round5]]&lt;4/24),0,IFERROR((MAX(starting_interval,IF(Table2[[#This Row],[gap5]]="NA",Table2[[#This Row],[avg gap]],Table2[[#This Row],[gap5]]))-starting_interval)*Table2[[#This Row],[followers5]]/Table2[[#This Row],[group size5]],""))</f>
        <v>1.8749999999999715E-2</v>
      </c>
      <c r="AH36" s="32" t="str">
        <f>_xlfn.IFNA(VLOOKUP(Table2[[#This Row],[Name]],'Stableford - players'!$A$2:$B$65,2,FALSE),"")</f>
        <v/>
      </c>
      <c r="AI36" s="59" t="str">
        <f>IF(Table2[[#This Row],[tee time6]]&lt;&gt;"",COUNTIF('Stableford - players'!$B$2:$B$65,"="&amp;Table2[[#This Row],[tee time6]]),"")</f>
        <v/>
      </c>
      <c r="AJ36" s="59" t="str">
        <f>_xlfn.IFNA(VLOOKUP(Table2[[#This Row],[tee time6]],'Stableford - groups'!$A$3:$F$20,6,FALSE),"")</f>
        <v/>
      </c>
      <c r="AK36" s="11" t="str">
        <f>_xlfn.IFNA(VLOOKUP(Table2[[#This Row],[tee time6]],'Stableford - groups'!$A$3:$F$20,4,FALSE),"")</f>
        <v/>
      </c>
      <c r="AL36" s="13" t="str">
        <f>_xlfn.IFNA(VLOOKUP(Table2[[#This Row],[tee time6]],'Stableford - groups'!$A$3:$F$20,5,FALSE),"")</f>
        <v/>
      </c>
      <c r="AM36" s="68" t="str">
        <f>IF(AND(Table2[[#This Row],[gap6]]="NA",Table2[[#This Row],[round6]]&lt;4/24),0,IFERROR((MAX(starting_interval,IF(Table2[[#This Row],[gap6]]="NA",Table2[[#This Row],[avg gap]],Table2[[#This Row],[gap6]]))-starting_interval)*Table2[[#This Row],[followers6]]/Table2[[#This Row],[group size6]],""))</f>
        <v/>
      </c>
      <c r="AN36" s="32">
        <f>_xlfn.IFNA(VLOOKUP(Table2[[#This Row],[Name]],'Turkey Shoot - players'!$A$2:$B$65,2,FALSE),"")</f>
        <v>0.4375</v>
      </c>
      <c r="AO36" s="59">
        <f>IF(Table2[[#This Row],[tee time7]]&lt;&gt;"",COUNTIF('Turkey Shoot - players'!$B$2:$B$65,"="&amp;Table2[[#This Row],[tee time7]]),"")</f>
        <v>4</v>
      </c>
      <c r="AP36" s="59">
        <f>_xlfn.IFNA(VLOOKUP(Table2[[#This Row],[tee time7]],'Stableford - groups'!$A$3:$F$20,6,FALSE),"")</f>
        <v>0</v>
      </c>
      <c r="AQ36" s="11">
        <f>_xlfn.IFNA(VLOOKUP(Table2[[#This Row],[tee time7]],'Turkey Shoot - groups'!$A$3:$F$20,4,FALSE),"")</f>
        <v>0.18263888888888891</v>
      </c>
      <c r="AR36" s="13">
        <f>_xlfn.IFNA(VLOOKUP(Table2[[#This Row],[tee time7]],'Turkey Shoot - groups'!$A$3:$F$20,5,FALSE),"")</f>
        <v>9.7222222222222224E-3</v>
      </c>
      <c r="AS36" s="68">
        <f>IF(AND(Table2[[#This Row],[gap7]]="NA",Table2[[#This Row],[round7]]&lt;4/24),0,IFERROR((MAX(starting_interval,IF(Table2[[#This Row],[gap7]]="NA",Table2[[#This Row],[avg gap]],Table2[[#This Row],[gap7]]))-starting_interval)*Table2[[#This Row],[followers7]]/Table2[[#This Row],[group size7]],""))</f>
        <v>0</v>
      </c>
      <c r="AT36" s="72">
        <f>COUNT(Table2[[#This Row],[Tee time1]],Table2[[#This Row],[tee time2]],Table2[[#This Row],[tee time3]],Table2[[#This Row],[tee time4]],Table2[[#This Row],[tee time5]],Table2[[#This Row],[tee time6]],Table2[[#This Row],[tee time7]])</f>
        <v>5</v>
      </c>
      <c r="AU36" s="4">
        <f>IFERROR(AVERAGE(Table2[[#This Row],[Tee time1]],Table2[[#This Row],[tee time2]],Table2[[#This Row],[tee time3]],Table2[[#This Row],[tee time4]],Table2[[#This Row],[tee time5]],Table2[[#This Row],[tee time6]],Table2[[#This Row],[tee time7]]),"")</f>
        <v>0.40972222222222215</v>
      </c>
      <c r="AV36" s="11">
        <f>IFERROR(MEDIAN(Table2[[#This Row],[round1]],Table2[[#This Row],[Round2]],Table2[[#This Row],[round3]],Table2[[#This Row],[round4]],Table2[[#This Row],[round5]],Table2[[#This Row],[round6]],Table2[[#This Row],[round7]]),"")</f>
        <v>0.18263888888888891</v>
      </c>
      <c r="AW36" s="11">
        <f>IFERROR(AVERAGE(Table2[[#This Row],[gap1]],Table2[[#This Row],[gap2]],Table2[[#This Row],[gap3]],Table2[[#This Row],[gap4]],Table2[[#This Row],[gap5]],Table2[[#This Row],[gap6]],Table2[[#This Row],[gap7]]),"")</f>
        <v>9.5833333333333291E-3</v>
      </c>
      <c r="AX36" s="9">
        <f>IFERROR((Table2[[#This Row],[avg gap]]-starting_interval)*24*60*Table2[[#This Row],[Count]],"NA")</f>
        <v>18.999999999999972</v>
      </c>
      <c r="AY3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6.3194444444444137E-2</v>
      </c>
      <c r="AZ36" s="2"/>
    </row>
    <row r="37" spans="1:52" x14ac:dyDescent="0.3">
      <c r="A37" s="10" t="s">
        <v>169</v>
      </c>
      <c r="B37" s="1" t="s">
        <v>410</v>
      </c>
      <c r="C37" s="19">
        <v>6.6</v>
      </c>
      <c r="D37" s="32">
        <f>_xlfn.IFNA(VLOOKUP(Table2[[#This Row],[Name]],'Classic day 1 - players'!$A$2:$B$64,2,FALSE),"")</f>
        <v>0.3520833333333333</v>
      </c>
      <c r="E37" s="33">
        <f>IF(Table2[[#This Row],[Tee time1]]&lt;&gt;"",COUNTIF('Classic day 1 - players'!$B$2:$B$64,"="&amp;Table2[[#This Row],[Tee time1]]),"")</f>
        <v>4</v>
      </c>
      <c r="F37" s="33">
        <f>_xlfn.IFNA(VLOOKUP(Table2[[#This Row],[Tee time1]],'Classic day 1 - groups'!$A$3:$F$20,6,FALSE),"")</f>
        <v>56</v>
      </c>
      <c r="G37" s="11">
        <f>_xlfn.IFNA(VLOOKUP(Table2[[#This Row],[Tee time1]],'Classic day 1 - groups'!$A$3:$F$20,4,FALSE),"")</f>
        <v>0.20347222222222222</v>
      </c>
      <c r="H37" s="12">
        <f>_xlfn.IFNA(VLOOKUP(Table2[[#This Row],[Tee time1]],'Classic day 1 - groups'!$A$3:$F$20,5,FALSE),"")</f>
        <v>9.7222222222221877E-3</v>
      </c>
      <c r="I37" s="69">
        <f>IFERROR((MAX(starting_interval,IF(Table2[[#This Row],[gap1]]="NA",Table2[[#This Row],[avg gap]],Table2[[#This Row],[gap1]]))-starting_interval)*Table2[[#This Row],[followers1]]/Table2[[#This Row],[group size]],"")</f>
        <v>3.8888888888888411E-2</v>
      </c>
      <c r="J37" s="32">
        <f>_xlfn.IFNA(VLOOKUP(Table2[[#This Row],[Name]],'Classic day 2 - players'!$A$2:$B$64,2,FALSE),"")</f>
        <v>0.3833333333333333</v>
      </c>
      <c r="K37" s="34">
        <f>IF(Table2[[#This Row],[tee time2]]&lt;&gt;"",COUNTIF('Classic day 2 - players'!$B$2:$B$64,"="&amp;Table2[[#This Row],[tee time2]]),"")</f>
        <v>4</v>
      </c>
      <c r="L37" s="34">
        <f>_xlfn.IFNA(VLOOKUP(Table2[[#This Row],[tee time2]],'Classic day 2 - groups'!$A$3:$F$20,6,FALSE),"")</f>
        <v>20</v>
      </c>
      <c r="M37" s="4">
        <f>_xlfn.IFNA(VLOOKUP(Table2[[#This Row],[tee time2]],'Classic day 2 - groups'!$A$3:$F$20,4,FALSE),"")</f>
        <v>0.18888888888888888</v>
      </c>
      <c r="N37" s="65">
        <f>_xlfn.IFNA(VLOOKUP(Table2[[#This Row],[tee time2]],'Classic day 2 - groups'!$A$3:$F$20,5,FALSE),"")</f>
        <v>6.2499999999999995E-3</v>
      </c>
      <c r="O37" s="69">
        <f>IFERROR((MAX(starting_interval,IF(Table2[[#This Row],[gap2]]="NA",Table2[[#This Row],[avg gap]],Table2[[#This Row],[gap2]]))-starting_interval)*Table2[[#This Row],[followers2]]/Table2[[#This Row],[group size2]],"")</f>
        <v>0</v>
      </c>
      <c r="P37" s="32" t="str">
        <f>_xlfn.IFNA(VLOOKUP(Table2[[#This Row],[Name]],'Summer FD - players'!$A$2:$B$65,2,FALSE),"")</f>
        <v/>
      </c>
      <c r="Q37" s="59" t="str">
        <f>IF(Table2[[#This Row],[tee time3]]&lt;&gt;"",COUNTIF('Summer FD - players'!$B$2:$B$65,"="&amp;Table2[[#This Row],[tee time3]]),"")</f>
        <v/>
      </c>
      <c r="R37" s="59" t="str">
        <f>_xlfn.IFNA(VLOOKUP(Table2[[#This Row],[tee time3]],'Summer FD - groups'!$A$3:$F$20,6,FALSE),"")</f>
        <v/>
      </c>
      <c r="S37" s="4" t="str">
        <f>_xlfn.IFNA(VLOOKUP(Table2[[#This Row],[tee time3]],'Summer FD - groups'!$A$3:$F$20,4,FALSE),"")</f>
        <v/>
      </c>
      <c r="T37" s="13" t="str">
        <f>_xlfn.IFNA(VLOOKUP(Table2[[#This Row],[tee time3]],'Summer FD - groups'!$A$3:$F$20,5,FALSE),"")</f>
        <v/>
      </c>
      <c r="U37" s="69" t="str">
        <f>IF(Table2[[#This Row],[avg gap]]&lt;&gt;"",IFERROR((MAX(starting_interval,IF(Table2[[#This Row],[gap3]]="NA",Table2[[#This Row],[avg gap]],Table2[[#This Row],[gap3]]))-starting_interval)*Table2[[#This Row],[followers3]]/Table2[[#This Row],[group size3]],""),"")</f>
        <v/>
      </c>
      <c r="V37" s="32" t="str">
        <f>_xlfn.IFNA(VLOOKUP(Table2[[#This Row],[Name]],'6-6-6 - players'!$A$2:$B$69,2,FALSE),"")</f>
        <v/>
      </c>
      <c r="W37" s="59" t="str">
        <f>IF(Table2[[#This Row],[tee time4]]&lt;&gt;"",COUNTIF('6-6-6 - players'!$B$2:$B$69,"="&amp;Table2[[#This Row],[tee time4]]),"")</f>
        <v/>
      </c>
      <c r="X37" s="59" t="str">
        <f>_xlfn.IFNA(VLOOKUP(Table2[[#This Row],[tee time4]],'6-6-6 - groups'!$A$3:$F$20,6,FALSE),"")</f>
        <v/>
      </c>
      <c r="Y37" s="4" t="str">
        <f>_xlfn.IFNA(VLOOKUP(Table2[[#This Row],[tee time4]],'6-6-6 - groups'!$A$3:$F$20,4,FALSE),"")</f>
        <v/>
      </c>
      <c r="Z37" s="13" t="str">
        <f>_xlfn.IFNA(VLOOKUP(Table2[[#This Row],[tee time4]],'6-6-6 - groups'!$A$3:$F$20,5,FALSE),"")</f>
        <v/>
      </c>
      <c r="AA37" s="69" t="str">
        <f>IF(Table2[[#This Row],[avg gap]]&lt;&gt;"",IFERROR((MAX(starting_interval,IF(Table2[[#This Row],[gap4]]="NA",Table2[[#This Row],[avg gap]],Table2[[#This Row],[gap4]]))-starting_interval)*Table2[[#This Row],[followers4]]/Table2[[#This Row],[group size4]],""),"")</f>
        <v/>
      </c>
      <c r="AB37" s="32">
        <f>_xlfn.IFNA(VLOOKUP(Table2[[#This Row],[Name]],'Fall FD - players'!$A$2:$B$65,2,FALSE),"")</f>
        <v>0.35138888888888892</v>
      </c>
      <c r="AC37" s="59">
        <f>IF(Table2[[#This Row],[tee time5]]&lt;&gt;"",COUNTIF('Fall FD - players'!$B$2:$B$65,"="&amp;Table2[[#This Row],[tee time5]]),"")</f>
        <v>4</v>
      </c>
      <c r="AD37" s="59">
        <f>_xlfn.IFNA(VLOOKUP(Table2[[#This Row],[tee time5]],'Fall FD - groups'!$A$3:$F$20,6,FALSE),"")</f>
        <v>60</v>
      </c>
      <c r="AE37" s="4">
        <f>_xlfn.IFNA(VLOOKUP(Table2[[#This Row],[tee time5]],'Fall FD - groups'!$A$3:$F$20,4,FALSE),"")</f>
        <v>0.17152777777777767</v>
      </c>
      <c r="AF37" s="13">
        <f>IFERROR(MIN(_xlfn.IFNA(VLOOKUP(Table2[[#This Row],[tee time5]],'Fall FD - groups'!$A$3:$F$20,5,FALSE),""),starting_interval + Table2[[#This Row],[round5]] - standard_round_time),"")</f>
        <v>8.3333333333333037E-3</v>
      </c>
      <c r="AG37" s="69">
        <f>IF(AND(Table2[[#This Row],[gap5]]="NA",Table2[[#This Row],[round5]]&lt;4/24),0,IFERROR((MAX(starting_interval,IF(Table2[[#This Row],[gap5]]="NA",Table2[[#This Row],[avg gap]],Table2[[#This Row],[gap5]]))-starting_interval)*Table2[[#This Row],[followers5]]/Table2[[#This Row],[group size5]],""))</f>
        <v>2.0833333333332895E-2</v>
      </c>
      <c r="AH37" s="32" t="str">
        <f>_xlfn.IFNA(VLOOKUP(Table2[[#This Row],[Name]],'Stableford - players'!$A$2:$B$65,2,FALSE),"")</f>
        <v/>
      </c>
      <c r="AI37" s="59" t="str">
        <f>IF(Table2[[#This Row],[tee time6]]&lt;&gt;"",COUNTIF('Stableford - players'!$B$2:$B$65,"="&amp;Table2[[#This Row],[tee time6]]),"")</f>
        <v/>
      </c>
      <c r="AJ37" s="59" t="str">
        <f>_xlfn.IFNA(VLOOKUP(Table2[[#This Row],[tee time6]],'Stableford - groups'!$A$3:$F$20,6,FALSE),"")</f>
        <v/>
      </c>
      <c r="AK37" s="11" t="str">
        <f>_xlfn.IFNA(VLOOKUP(Table2[[#This Row],[tee time6]],'Stableford - groups'!$A$3:$F$20,4,FALSE),"")</f>
        <v/>
      </c>
      <c r="AL37" s="13" t="str">
        <f>_xlfn.IFNA(VLOOKUP(Table2[[#This Row],[tee time6]],'Stableford - groups'!$A$3:$F$20,5,FALSE),"")</f>
        <v/>
      </c>
      <c r="AM37" s="68" t="str">
        <f>IF(AND(Table2[[#This Row],[gap6]]="NA",Table2[[#This Row],[round6]]&lt;4/24),0,IFERROR((MAX(starting_interval,IF(Table2[[#This Row],[gap6]]="NA",Table2[[#This Row],[avg gap]],Table2[[#This Row],[gap6]]))-starting_interval)*Table2[[#This Row],[followers6]]/Table2[[#This Row],[group size6]],""))</f>
        <v/>
      </c>
      <c r="AN37" s="32" t="str">
        <f>_xlfn.IFNA(VLOOKUP(Table2[[#This Row],[Name]],'Turkey Shoot - players'!$A$2:$B$65,2,FALSE),"")</f>
        <v/>
      </c>
      <c r="AO37" s="59" t="str">
        <f>IF(Table2[[#This Row],[tee time7]]&lt;&gt;"",COUNTIF('Turkey Shoot - players'!$B$2:$B$65,"="&amp;Table2[[#This Row],[tee time7]]),"")</f>
        <v/>
      </c>
      <c r="AP37" s="59" t="str">
        <f>_xlfn.IFNA(VLOOKUP(Table2[[#This Row],[tee time7]],'Stableford - groups'!$A$3:$F$20,6,FALSE),"")</f>
        <v/>
      </c>
      <c r="AQ37" s="11" t="str">
        <f>_xlfn.IFNA(VLOOKUP(Table2[[#This Row],[tee time7]],'Turkey Shoot - groups'!$A$3:$F$20,4,FALSE),"")</f>
        <v/>
      </c>
      <c r="AR37" s="13" t="str">
        <f>_xlfn.IFNA(VLOOKUP(Table2[[#This Row],[tee time7]],'Turkey Shoot - groups'!$A$3:$F$20,5,FALSE),"")</f>
        <v/>
      </c>
      <c r="AS37" s="68" t="str">
        <f>IF(AND(Table2[[#This Row],[gap7]]="NA",Table2[[#This Row],[round7]]&lt;4/24),0,IFERROR((MAX(starting_interval,IF(Table2[[#This Row],[gap7]]="NA",Table2[[#This Row],[avg gap]],Table2[[#This Row],[gap7]]))-starting_interval)*Table2[[#This Row],[followers7]]/Table2[[#This Row],[group size7]],""))</f>
        <v/>
      </c>
      <c r="AT37" s="72">
        <f>COUNT(Table2[[#This Row],[Tee time1]],Table2[[#This Row],[tee time2]],Table2[[#This Row],[tee time3]],Table2[[#This Row],[tee time4]],Table2[[#This Row],[tee time5]],Table2[[#This Row],[tee time6]],Table2[[#This Row],[tee time7]])</f>
        <v>3</v>
      </c>
      <c r="AU37" s="4">
        <f>IFERROR(AVERAGE(Table2[[#This Row],[Tee time1]],Table2[[#This Row],[tee time2]],Table2[[#This Row],[tee time3]],Table2[[#This Row],[tee time4]],Table2[[#This Row],[tee time5]],Table2[[#This Row],[tee time6]],Table2[[#This Row],[tee time7]]),"")</f>
        <v>0.36226851851851855</v>
      </c>
      <c r="AV37" s="11">
        <f>IFERROR(MEDIAN(Table2[[#This Row],[round1]],Table2[[#This Row],[Round2]],Table2[[#This Row],[round3]],Table2[[#This Row],[round4]],Table2[[#This Row],[round5]],Table2[[#This Row],[round6]],Table2[[#This Row],[round7]]),"")</f>
        <v>0.18888888888888888</v>
      </c>
      <c r="AW37" s="11">
        <f>IFERROR(AVERAGE(Table2[[#This Row],[gap1]],Table2[[#This Row],[gap2]],Table2[[#This Row],[gap3]],Table2[[#This Row],[gap4]],Table2[[#This Row],[gap5]],Table2[[#This Row],[gap6]],Table2[[#This Row],[gap7]]),"")</f>
        <v>8.1018518518518306E-3</v>
      </c>
      <c r="AX37" s="9">
        <f>IFERROR((Table2[[#This Row],[avg gap]]-starting_interval)*24*60*Table2[[#This Row],[Count]],"NA")</f>
        <v>4.9999999999999094</v>
      </c>
      <c r="AY3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5.9722222222221302E-2</v>
      </c>
      <c r="AZ37" s="2"/>
    </row>
    <row r="38" spans="1:52" x14ac:dyDescent="0.3">
      <c r="A38" s="10" t="s">
        <v>142</v>
      </c>
      <c r="B38" s="1" t="s">
        <v>383</v>
      </c>
      <c r="C38" s="19">
        <v>15.3</v>
      </c>
      <c r="D38" s="32" t="str">
        <f>_xlfn.IFNA(VLOOKUP(Table2[[#This Row],[Name]],'Classic day 1 - players'!$A$2:$B$64,2,FALSE),"")</f>
        <v/>
      </c>
      <c r="E38" s="33" t="str">
        <f>IF(Table2[[#This Row],[Tee time1]]&lt;&gt;"",COUNTIF('Classic day 1 - players'!$B$2:$B$64,"="&amp;Table2[[#This Row],[Tee time1]]),"")</f>
        <v/>
      </c>
      <c r="F38" s="33" t="str">
        <f>_xlfn.IFNA(VLOOKUP(Table2[[#This Row],[Tee time1]],'Classic day 1 - groups'!$A$3:$F$20,6,FALSE),"")</f>
        <v/>
      </c>
      <c r="G38" s="11" t="str">
        <f>_xlfn.IFNA(VLOOKUP(Table2[[#This Row],[Tee time1]],'Classic day 1 - groups'!$A$3:$F$20,4,FALSE),"")</f>
        <v/>
      </c>
      <c r="H38" s="12" t="str">
        <f>_xlfn.IFNA(VLOOKUP(Table2[[#This Row],[Tee time1]],'Classic day 1 - groups'!$A$3:$F$20,5,FALSE),"")</f>
        <v/>
      </c>
      <c r="I38" s="69" t="str">
        <f>IFERROR((MAX(starting_interval,IF(Table2[[#This Row],[gap1]]="NA",Table2[[#This Row],[avg gap]],Table2[[#This Row],[gap1]]))-starting_interval)*Table2[[#This Row],[followers1]]/Table2[[#This Row],[group size]],"")</f>
        <v/>
      </c>
      <c r="J38" s="32" t="str">
        <f>_xlfn.IFNA(VLOOKUP(Table2[[#This Row],[Name]],'Classic day 2 - players'!$A$2:$B$64,2,FALSE),"")</f>
        <v/>
      </c>
      <c r="K38" s="33" t="str">
        <f>IF(Table2[[#This Row],[tee time2]]&lt;&gt;"",COUNTIF('Classic day 2 - players'!$B$2:$B$64,"="&amp;Table2[[#This Row],[tee time2]]),"")</f>
        <v/>
      </c>
      <c r="L38" s="33" t="str">
        <f>_xlfn.IFNA(VLOOKUP(Table2[[#This Row],[tee time2]],'Classic day 2 - groups'!$A$3:$F$20,6,FALSE),"")</f>
        <v/>
      </c>
      <c r="M38" s="4" t="str">
        <f>_xlfn.IFNA(VLOOKUP(Table2[[#This Row],[tee time2]],'Classic day 2 - groups'!$A$3:$F$20,4,FALSE),"")</f>
        <v/>
      </c>
      <c r="N38" s="65" t="str">
        <f>_xlfn.IFNA(VLOOKUP(Table2[[#This Row],[tee time2]],'Classic day 2 - groups'!$A$3:$F$20,5,FALSE),"")</f>
        <v/>
      </c>
      <c r="O38" s="69" t="str">
        <f>IFERROR((MAX(starting_interval,IF(Table2[[#This Row],[gap2]]="NA",Table2[[#This Row],[avg gap]],Table2[[#This Row],[gap2]]))-starting_interval)*Table2[[#This Row],[followers2]]/Table2[[#This Row],[group size2]],"")</f>
        <v/>
      </c>
      <c r="P38" s="32" t="str">
        <f>_xlfn.IFNA(VLOOKUP(Table2[[#This Row],[Name]],'Summer FD - players'!$A$2:$B$65,2,FALSE),"")</f>
        <v/>
      </c>
      <c r="Q38" s="59" t="str">
        <f>IF(Table2[[#This Row],[tee time3]]&lt;&gt;"",COUNTIF('Summer FD - players'!$B$2:$B$65,"="&amp;Table2[[#This Row],[tee time3]]),"")</f>
        <v/>
      </c>
      <c r="R38" s="59" t="str">
        <f>_xlfn.IFNA(VLOOKUP(Table2[[#This Row],[tee time3]],'Summer FD - groups'!$A$3:$F$20,6,FALSE),"")</f>
        <v/>
      </c>
      <c r="S38" s="4" t="str">
        <f>_xlfn.IFNA(VLOOKUP(Table2[[#This Row],[tee time3]],'Summer FD - groups'!$A$3:$F$20,4,FALSE),"")</f>
        <v/>
      </c>
      <c r="T38" s="13" t="str">
        <f>_xlfn.IFNA(VLOOKUP(Table2[[#This Row],[tee time3]],'Summer FD - groups'!$A$3:$F$20,5,FALSE),"")</f>
        <v/>
      </c>
      <c r="U38" s="69" t="str">
        <f>IF(Table2[[#This Row],[avg gap]]&lt;&gt;"",IFERROR((MAX(starting_interval,IF(Table2[[#This Row],[gap3]]="NA",Table2[[#This Row],[avg gap]],Table2[[#This Row],[gap3]]))-starting_interval)*Table2[[#This Row],[followers3]]/Table2[[#This Row],[group size3]],""),"")</f>
        <v/>
      </c>
      <c r="V38" s="32">
        <f>_xlfn.IFNA(VLOOKUP(Table2[[#This Row],[Name]],'6-6-6 - players'!$A$2:$B$69,2,FALSE),"")</f>
        <v>0.3888888888888889</v>
      </c>
      <c r="W38" s="59">
        <f>IF(Table2[[#This Row],[tee time4]]&lt;&gt;"",COUNTIF('6-6-6 - players'!$B$2:$B$69,"="&amp;Table2[[#This Row],[tee time4]]),"")</f>
        <v>4</v>
      </c>
      <c r="X38" s="59">
        <f>_xlfn.IFNA(VLOOKUP(Table2[[#This Row],[tee time4]],'6-6-6 - groups'!$A$3:$F$20,6,FALSE),"")</f>
        <v>36</v>
      </c>
      <c r="Y38" s="4">
        <f>_xlfn.IFNA(VLOOKUP(Table2[[#This Row],[tee time4]],'6-6-6 - groups'!$A$3:$F$20,4,FALSE),"")</f>
        <v>0.17291666666666666</v>
      </c>
      <c r="Z38" s="13">
        <f>_xlfn.IFNA(VLOOKUP(Table2[[#This Row],[tee time4]],'6-6-6 - groups'!$A$3:$F$20,5,FALSE),"")</f>
        <v>4.1666666666666519E-3</v>
      </c>
      <c r="AA38" s="69">
        <f>IF(Table2[[#This Row],[avg gap]]&lt;&gt;"",IFERROR((MAX(starting_interval,IF(Table2[[#This Row],[gap4]]="NA",Table2[[#This Row],[avg gap]],Table2[[#This Row],[gap4]]))-starting_interval)*Table2[[#This Row],[followers4]]/Table2[[#This Row],[group size4]],""),"")</f>
        <v>0</v>
      </c>
      <c r="AB38" s="32">
        <f>_xlfn.IFNA(VLOOKUP(Table2[[#This Row],[Name]],'Fall FD - players'!$A$2:$B$65,2,FALSE),"")</f>
        <v>0.35833333333333334</v>
      </c>
      <c r="AC38" s="59">
        <f>IF(Table2[[#This Row],[tee time5]]&lt;&gt;"",COUNTIF('Fall FD - players'!$B$2:$B$65,"="&amp;Table2[[#This Row],[tee time5]]),"")</f>
        <v>4</v>
      </c>
      <c r="AD38" s="59">
        <f>_xlfn.IFNA(VLOOKUP(Table2[[#This Row],[tee time5]],'Fall FD - groups'!$A$3:$F$20,6,FALSE),"")</f>
        <v>56</v>
      </c>
      <c r="AE38" s="4">
        <f>_xlfn.IFNA(VLOOKUP(Table2[[#This Row],[tee time5]],'Fall FD - groups'!$A$3:$F$20,4,FALSE),"")</f>
        <v>0.17638888888888893</v>
      </c>
      <c r="AF38" s="13">
        <f>IFERROR(MIN(_xlfn.IFNA(VLOOKUP(Table2[[#This Row],[tee time5]],'Fall FD - groups'!$A$3:$F$20,5,FALSE),""),starting_interval + Table2[[#This Row],[round5]] - standard_round_time),"")</f>
        <v>1.1111111111111183E-2</v>
      </c>
      <c r="AG38" s="69">
        <f>IF(AND(Table2[[#This Row],[gap5]]="NA",Table2[[#This Row],[round5]]&lt;4/24),0,IFERROR((MAX(starting_interval,IF(Table2[[#This Row],[gap5]]="NA",Table2[[#This Row],[avg gap]],Table2[[#This Row],[gap5]]))-starting_interval)*Table2[[#This Row],[followers5]]/Table2[[#This Row],[group size5]],""))</f>
        <v>5.833333333333434E-2</v>
      </c>
      <c r="AH38" s="32">
        <f>_xlfn.IFNA(VLOOKUP(Table2[[#This Row],[Name]],'Stableford - players'!$A$2:$B$65,2,FALSE),"")</f>
        <v>0.4236111111111111</v>
      </c>
      <c r="AI38" s="59">
        <f>IF(Table2[[#This Row],[tee time6]]&lt;&gt;"",COUNTIF('Stableford - players'!$B$2:$B$65,"="&amp;Table2[[#This Row],[tee time6]]),"")</f>
        <v>4</v>
      </c>
      <c r="AJ38" s="59">
        <f>_xlfn.IFNA(VLOOKUP(Table2[[#This Row],[tee time6]],'Stableford - groups'!$A$3:$F$20,6,FALSE),"")</f>
        <v>8</v>
      </c>
      <c r="AK38" s="11">
        <f>_xlfn.IFNA(VLOOKUP(Table2[[#This Row],[tee time6]],'Stableford - groups'!$A$3:$F$20,4,FALSE),"")</f>
        <v>0.17222222222222222</v>
      </c>
      <c r="AL38" s="13">
        <f>_xlfn.IFNA(VLOOKUP(Table2[[#This Row],[tee time6]],'Stableford - groups'!$A$3:$F$20,5,FALSE),"")</f>
        <v>5.5555555555555358E-3</v>
      </c>
      <c r="AM38" s="68">
        <f>IF(AND(Table2[[#This Row],[gap6]]="NA",Table2[[#This Row],[round6]]&lt;4/24),0,IFERROR((MAX(starting_interval,IF(Table2[[#This Row],[gap6]]="NA",Table2[[#This Row],[avg gap]],Table2[[#This Row],[gap6]]))-starting_interval)*Table2[[#This Row],[followers6]]/Table2[[#This Row],[group size6]],""))</f>
        <v>0</v>
      </c>
      <c r="AN38" s="32">
        <f>_xlfn.IFNA(VLOOKUP(Table2[[#This Row],[Name]],'Turkey Shoot - players'!$A$2:$B$65,2,FALSE),"")</f>
        <v>0.43055555555555558</v>
      </c>
      <c r="AO38" s="59">
        <f>IF(Table2[[#This Row],[tee time7]]&lt;&gt;"",COUNTIF('Turkey Shoot - players'!$B$2:$B$65,"="&amp;Table2[[#This Row],[tee time7]]),"")</f>
        <v>3</v>
      </c>
      <c r="AP38" s="59">
        <f>_xlfn.IFNA(VLOOKUP(Table2[[#This Row],[tee time7]],'Stableford - groups'!$A$3:$F$20,6,FALSE),"")</f>
        <v>4</v>
      </c>
      <c r="AQ38" s="11">
        <f>_xlfn.IFNA(VLOOKUP(Table2[[#This Row],[tee time7]],'Turkey Shoot - groups'!$A$3:$F$20,4,FALSE),"")</f>
        <v>0.17986111111111114</v>
      </c>
      <c r="AR38" s="13">
        <f>_xlfn.IFNA(VLOOKUP(Table2[[#This Row],[tee time7]],'Turkey Shoot - groups'!$A$3:$F$20,5,FALSE),"")</f>
        <v>7.6388888888888886E-3</v>
      </c>
      <c r="AS38" s="68">
        <f>IF(AND(Table2[[#This Row],[gap7]]="NA",Table2[[#This Row],[round7]]&lt;4/24),0,IFERROR((MAX(starting_interval,IF(Table2[[#This Row],[gap7]]="NA",Table2[[#This Row],[avg gap]],Table2[[#This Row],[gap7]]))-starting_interval)*Table2[[#This Row],[followers7]]/Table2[[#This Row],[group size7]],""))</f>
        <v>9.2592592592592607E-4</v>
      </c>
      <c r="AT38" s="72">
        <f>COUNT(Table2[[#This Row],[Tee time1]],Table2[[#This Row],[tee time2]],Table2[[#This Row],[tee time3]],Table2[[#This Row],[tee time4]],Table2[[#This Row],[tee time5]],Table2[[#This Row],[tee time6]],Table2[[#This Row],[tee time7]])</f>
        <v>4</v>
      </c>
      <c r="AU38" s="4">
        <f>IFERROR(AVERAGE(Table2[[#This Row],[Tee time1]],Table2[[#This Row],[tee time2]],Table2[[#This Row],[tee time3]],Table2[[#This Row],[tee time4]],Table2[[#This Row],[tee time5]],Table2[[#This Row],[tee time6]],Table2[[#This Row],[tee time7]]),"")</f>
        <v>0.40034722222222224</v>
      </c>
      <c r="AV38" s="11">
        <f>IFERROR(MEDIAN(Table2[[#This Row],[round1]],Table2[[#This Row],[Round2]],Table2[[#This Row],[round3]],Table2[[#This Row],[round4]],Table2[[#This Row],[round5]],Table2[[#This Row],[round6]],Table2[[#This Row],[round7]]),"")</f>
        <v>0.1746527777777778</v>
      </c>
      <c r="AW38" s="11">
        <f>IFERROR(AVERAGE(Table2[[#This Row],[gap1]],Table2[[#This Row],[gap2]],Table2[[#This Row],[gap3]],Table2[[#This Row],[gap4]],Table2[[#This Row],[gap5]],Table2[[#This Row],[gap6]],Table2[[#This Row],[gap7]]),"")</f>
        <v>7.118055555555565E-3</v>
      </c>
      <c r="AX38" s="9">
        <f>IFERROR((Table2[[#This Row],[avg gap]]-starting_interval)*24*60*Table2[[#This Row],[Count]],"NA")</f>
        <v>1.0000000000000564</v>
      </c>
      <c r="AY3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5.9259259259260268E-2</v>
      </c>
      <c r="AZ38" s="2"/>
    </row>
    <row r="39" spans="1:52" x14ac:dyDescent="0.3">
      <c r="A39" s="10" t="s">
        <v>40</v>
      </c>
      <c r="B39" s="1" t="s">
        <v>278</v>
      </c>
      <c r="C39" s="19">
        <v>7.2</v>
      </c>
      <c r="D39" s="32">
        <f>_xlfn.IFNA(VLOOKUP(Table2[[#This Row],[Name]],'Classic day 1 - players'!$A$2:$B$64,2,FALSE),"")</f>
        <v>0.36458333333333331</v>
      </c>
      <c r="E39" s="33">
        <f>IF(Table2[[#This Row],[Tee time1]]&lt;&gt;"",COUNTIF('Classic day 1 - players'!$B$2:$B$64,"="&amp;Table2[[#This Row],[Tee time1]]),"")</f>
        <v>4</v>
      </c>
      <c r="F39" s="33">
        <f>_xlfn.IFNA(VLOOKUP(Table2[[#This Row],[Tee time1]],'Classic day 1 - groups'!$A$3:$F$20,6,FALSE),"")</f>
        <v>48</v>
      </c>
      <c r="G39" s="11">
        <f>_xlfn.IFNA(VLOOKUP(Table2[[#This Row],[Tee time1]],'Classic day 1 - groups'!$A$3:$F$20,4,FALSE),"")</f>
        <v>0.19722222222222219</v>
      </c>
      <c r="H39" s="12">
        <f>_xlfn.IFNA(VLOOKUP(Table2[[#This Row],[Tee time1]],'Classic day 1 - groups'!$A$3:$F$20,5,FALSE),"")</f>
        <v>4.1666666666666519E-3</v>
      </c>
      <c r="I39" s="69">
        <f>IFERROR((MAX(starting_interval,IF(Table2[[#This Row],[gap1]]="NA",Table2[[#This Row],[avg gap]],Table2[[#This Row],[gap1]]))-starting_interval)*Table2[[#This Row],[followers1]]/Table2[[#This Row],[group size]],"")</f>
        <v>0</v>
      </c>
      <c r="J39" s="32">
        <f>_xlfn.IFNA(VLOOKUP(Table2[[#This Row],[Name]],'Classic day 2 - players'!$A$2:$B$64,2,FALSE),"")</f>
        <v>0.3833333333333333</v>
      </c>
      <c r="K39" s="33">
        <f>IF(Table2[[#This Row],[tee time2]]&lt;&gt;"",COUNTIF('Classic day 2 - players'!$B$2:$B$64,"="&amp;Table2[[#This Row],[tee time2]]),"")</f>
        <v>4</v>
      </c>
      <c r="L39" s="33">
        <f>_xlfn.IFNA(VLOOKUP(Table2[[#This Row],[tee time2]],'Classic day 2 - groups'!$A$3:$F$20,6,FALSE),"")</f>
        <v>20</v>
      </c>
      <c r="M39" s="4">
        <f>_xlfn.IFNA(VLOOKUP(Table2[[#This Row],[tee time2]],'Classic day 2 - groups'!$A$3:$F$20,4,FALSE),"")</f>
        <v>0.18888888888888888</v>
      </c>
      <c r="N39" s="65">
        <f>_xlfn.IFNA(VLOOKUP(Table2[[#This Row],[tee time2]],'Classic day 2 - groups'!$A$3:$F$20,5,FALSE),"")</f>
        <v>6.2499999999999995E-3</v>
      </c>
      <c r="O39" s="69">
        <f>IFERROR((MAX(starting_interval,IF(Table2[[#This Row],[gap2]]="NA",Table2[[#This Row],[avg gap]],Table2[[#This Row],[gap2]]))-starting_interval)*Table2[[#This Row],[followers2]]/Table2[[#This Row],[group size2]],"")</f>
        <v>0</v>
      </c>
      <c r="P39" s="32">
        <f>_xlfn.IFNA(VLOOKUP(Table2[[#This Row],[Name]],'Summer FD - players'!$A$2:$B$65,2,FALSE),"")</f>
        <v>0.43333333333333335</v>
      </c>
      <c r="Q39" s="59">
        <f>IF(Table2[[#This Row],[tee time3]]&lt;&gt;"",COUNTIF('Summer FD - players'!$B$2:$B$65,"="&amp;Table2[[#This Row],[tee time3]]),"")</f>
        <v>3</v>
      </c>
      <c r="R39" s="59">
        <f>_xlfn.IFNA(VLOOKUP(Table2[[#This Row],[tee time3]],'Summer FD - groups'!$A$3:$F$20,6,FALSE),"")</f>
        <v>4</v>
      </c>
      <c r="S39" s="4">
        <f>_xlfn.IFNA(VLOOKUP(Table2[[#This Row],[tee time3]],'Summer FD - groups'!$A$3:$F$20,4,FALSE),"")</f>
        <v>0.19444444444444442</v>
      </c>
      <c r="T39" s="13">
        <f>_xlfn.IFNA(VLOOKUP(Table2[[#This Row],[tee time3]],'Summer FD - groups'!$A$3:$F$20,5,FALSE),"")</f>
        <v>4.8611111111110938E-3</v>
      </c>
      <c r="U39" s="69">
        <f>IF(Table2[[#This Row],[avg gap]]&lt;&gt;"",IFERROR((MAX(starting_interval,IF(Table2[[#This Row],[gap3]]="NA",Table2[[#This Row],[avg gap]],Table2[[#This Row],[gap3]]))-starting_interval)*Table2[[#This Row],[followers3]]/Table2[[#This Row],[group size3]],""),"")</f>
        <v>0</v>
      </c>
      <c r="V39" s="32" t="str">
        <f>_xlfn.IFNA(VLOOKUP(Table2[[#This Row],[Name]],'6-6-6 - players'!$A$2:$B$69,2,FALSE),"")</f>
        <v/>
      </c>
      <c r="W39" s="59" t="str">
        <f>IF(Table2[[#This Row],[tee time4]]&lt;&gt;"",COUNTIF('6-6-6 - players'!$B$2:$B$69,"="&amp;Table2[[#This Row],[tee time4]]),"")</f>
        <v/>
      </c>
      <c r="X39" s="59" t="str">
        <f>_xlfn.IFNA(VLOOKUP(Table2[[#This Row],[tee time4]],'6-6-6 - groups'!$A$3:$F$20,6,FALSE),"")</f>
        <v/>
      </c>
      <c r="Y39" s="4" t="str">
        <f>_xlfn.IFNA(VLOOKUP(Table2[[#This Row],[tee time4]],'6-6-6 - groups'!$A$3:$F$20,4,FALSE),"")</f>
        <v/>
      </c>
      <c r="Z39" s="13" t="str">
        <f>_xlfn.IFNA(VLOOKUP(Table2[[#This Row],[tee time4]],'6-6-6 - groups'!$A$3:$F$20,5,FALSE),"")</f>
        <v/>
      </c>
      <c r="AA39" s="69" t="str">
        <f>IF(Table2[[#This Row],[avg gap]]&lt;&gt;"",IFERROR((MAX(starting_interval,IF(Table2[[#This Row],[gap4]]="NA",Table2[[#This Row],[avg gap]],Table2[[#This Row],[gap4]]))-starting_interval)*Table2[[#This Row],[followers4]]/Table2[[#This Row],[group size4]],""),"")</f>
        <v/>
      </c>
      <c r="AB39" s="32">
        <f>_xlfn.IFNA(VLOOKUP(Table2[[#This Row],[Name]],'Fall FD - players'!$A$2:$B$65,2,FALSE),"")</f>
        <v>0.35833333333333334</v>
      </c>
      <c r="AC39" s="59">
        <f>IF(Table2[[#This Row],[tee time5]]&lt;&gt;"",COUNTIF('Fall FD - players'!$B$2:$B$65,"="&amp;Table2[[#This Row],[tee time5]]),"")</f>
        <v>4</v>
      </c>
      <c r="AD39" s="59">
        <f>_xlfn.IFNA(VLOOKUP(Table2[[#This Row],[tee time5]],'Fall FD - groups'!$A$3:$F$20,6,FALSE),"")</f>
        <v>56</v>
      </c>
      <c r="AE39" s="4">
        <f>_xlfn.IFNA(VLOOKUP(Table2[[#This Row],[tee time5]],'Fall FD - groups'!$A$3:$F$20,4,FALSE),"")</f>
        <v>0.17638888888888893</v>
      </c>
      <c r="AF39" s="13">
        <f>IFERROR(MIN(_xlfn.IFNA(VLOOKUP(Table2[[#This Row],[tee time5]],'Fall FD - groups'!$A$3:$F$20,5,FALSE),""),starting_interval + Table2[[#This Row],[round5]] - standard_round_time),"")</f>
        <v>1.1111111111111183E-2</v>
      </c>
      <c r="AG39" s="69">
        <f>IF(AND(Table2[[#This Row],[gap5]]="NA",Table2[[#This Row],[round5]]&lt;4/24),0,IFERROR((MAX(starting_interval,IF(Table2[[#This Row],[gap5]]="NA",Table2[[#This Row],[avg gap]],Table2[[#This Row],[gap5]]))-starting_interval)*Table2[[#This Row],[followers5]]/Table2[[#This Row],[group size5]],""))</f>
        <v>5.833333333333434E-2</v>
      </c>
      <c r="AH39" s="32">
        <f>_xlfn.IFNA(VLOOKUP(Table2[[#This Row],[Name]],'Stableford - players'!$A$2:$B$65,2,FALSE),"")</f>
        <v>0.4236111111111111</v>
      </c>
      <c r="AI39" s="59">
        <f>IF(Table2[[#This Row],[tee time6]]&lt;&gt;"",COUNTIF('Stableford - players'!$B$2:$B$65,"="&amp;Table2[[#This Row],[tee time6]]),"")</f>
        <v>4</v>
      </c>
      <c r="AJ39" s="59">
        <f>_xlfn.IFNA(VLOOKUP(Table2[[#This Row],[tee time6]],'Stableford - groups'!$A$3:$F$20,6,FALSE),"")</f>
        <v>8</v>
      </c>
      <c r="AK39" s="11">
        <f>_xlfn.IFNA(VLOOKUP(Table2[[#This Row],[tee time6]],'Stableford - groups'!$A$3:$F$20,4,FALSE),"")</f>
        <v>0.17222222222222222</v>
      </c>
      <c r="AL39" s="13">
        <f>_xlfn.IFNA(VLOOKUP(Table2[[#This Row],[tee time6]],'Stableford - groups'!$A$3:$F$20,5,FALSE),"")</f>
        <v>5.5555555555555358E-3</v>
      </c>
      <c r="AM39" s="68">
        <f>IF(AND(Table2[[#This Row],[gap6]]="NA",Table2[[#This Row],[round6]]&lt;4/24),0,IFERROR((MAX(starting_interval,IF(Table2[[#This Row],[gap6]]="NA",Table2[[#This Row],[avg gap]],Table2[[#This Row],[gap6]]))-starting_interval)*Table2[[#This Row],[followers6]]/Table2[[#This Row],[group size6]],""))</f>
        <v>0</v>
      </c>
      <c r="AN39" s="32">
        <f>_xlfn.IFNA(VLOOKUP(Table2[[#This Row],[Name]],'Turkey Shoot - players'!$A$2:$B$65,2,FALSE),"")</f>
        <v>0.43055555555555558</v>
      </c>
      <c r="AO39" s="59">
        <f>IF(Table2[[#This Row],[tee time7]]&lt;&gt;"",COUNTIF('Turkey Shoot - players'!$B$2:$B$65,"="&amp;Table2[[#This Row],[tee time7]]),"")</f>
        <v>3</v>
      </c>
      <c r="AP39" s="59">
        <f>_xlfn.IFNA(VLOOKUP(Table2[[#This Row],[tee time7]],'Stableford - groups'!$A$3:$F$20,6,FALSE),"")</f>
        <v>4</v>
      </c>
      <c r="AQ39" s="11">
        <f>_xlfn.IFNA(VLOOKUP(Table2[[#This Row],[tee time7]],'Turkey Shoot - groups'!$A$3:$F$20,4,FALSE),"")</f>
        <v>0.17986111111111114</v>
      </c>
      <c r="AR39" s="13">
        <f>_xlfn.IFNA(VLOOKUP(Table2[[#This Row],[tee time7]],'Turkey Shoot - groups'!$A$3:$F$20,5,FALSE),"")</f>
        <v>7.6388888888888886E-3</v>
      </c>
      <c r="AS39" s="68">
        <f>IF(AND(Table2[[#This Row],[gap7]]="NA",Table2[[#This Row],[round7]]&lt;4/24),0,IFERROR((MAX(starting_interval,IF(Table2[[#This Row],[gap7]]="NA",Table2[[#This Row],[avg gap]],Table2[[#This Row],[gap7]]))-starting_interval)*Table2[[#This Row],[followers7]]/Table2[[#This Row],[group size7]],""))</f>
        <v>9.2592592592592607E-4</v>
      </c>
      <c r="AT39" s="72">
        <f>COUNT(Table2[[#This Row],[Tee time1]],Table2[[#This Row],[tee time2]],Table2[[#This Row],[tee time3]],Table2[[#This Row],[tee time4]],Table2[[#This Row],[tee time5]],Table2[[#This Row],[tee time6]],Table2[[#This Row],[tee time7]])</f>
        <v>6</v>
      </c>
      <c r="AU39" s="4">
        <f>IFERROR(AVERAGE(Table2[[#This Row],[Tee time1]],Table2[[#This Row],[tee time2]],Table2[[#This Row],[tee time3]],Table2[[#This Row],[tee time4]],Table2[[#This Row],[tee time5]],Table2[[#This Row],[tee time6]],Table2[[#This Row],[tee time7]]),"")</f>
        <v>0.3989583333333333</v>
      </c>
      <c r="AV39" s="11">
        <f>IFERROR(MEDIAN(Table2[[#This Row],[round1]],Table2[[#This Row],[Round2]],Table2[[#This Row],[round3]],Table2[[#This Row],[round4]],Table2[[#This Row],[round5]],Table2[[#This Row],[round6]],Table2[[#This Row],[round7]]),"")</f>
        <v>0.18437500000000001</v>
      </c>
      <c r="AW39" s="11">
        <f>IFERROR(AVERAGE(Table2[[#This Row],[gap1]],Table2[[#This Row],[gap2]],Table2[[#This Row],[gap3]],Table2[[#This Row],[gap4]],Table2[[#This Row],[gap5]],Table2[[#This Row],[gap6]],Table2[[#This Row],[gap7]]),"")</f>
        <v>6.5972222222222257E-3</v>
      </c>
      <c r="AX39" s="9">
        <f>IFERROR((Table2[[#This Row],[avg gap]]-starting_interval)*24*60*Table2[[#This Row],[Count]],"NA")</f>
        <v>-2.9999999999999667</v>
      </c>
      <c r="AY3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5.9259259259260268E-2</v>
      </c>
      <c r="AZ39" s="2"/>
    </row>
    <row r="40" spans="1:52" x14ac:dyDescent="0.3">
      <c r="A40" s="10" t="s">
        <v>102</v>
      </c>
      <c r="B40" s="1" t="s">
        <v>341</v>
      </c>
      <c r="C40" s="19">
        <v>6.5</v>
      </c>
      <c r="D40" s="32">
        <f>_xlfn.IFNA(VLOOKUP(Table2[[#This Row],[Name]],'Classic day 1 - players'!$A$2:$B$64,2,FALSE),"")</f>
        <v>0.34583333333333338</v>
      </c>
      <c r="E40" s="33">
        <f>IF(Table2[[#This Row],[Tee time1]]&lt;&gt;"",COUNTIF('Classic day 1 - players'!$B$2:$B$64,"="&amp;Table2[[#This Row],[Tee time1]]),"")</f>
        <v>4</v>
      </c>
      <c r="F40" s="33">
        <f>_xlfn.IFNA(VLOOKUP(Table2[[#This Row],[Tee time1]],'Classic day 1 - groups'!$A$3:$F$20,6,FALSE),"")</f>
        <v>60</v>
      </c>
      <c r="G40" s="11">
        <f>_xlfn.IFNA(VLOOKUP(Table2[[#This Row],[Tee time1]],'Classic day 1 - groups'!$A$3:$F$20,4,FALSE),"")</f>
        <v>0.20000000000000007</v>
      </c>
      <c r="H40" s="12">
        <f>_xlfn.IFNA(VLOOKUP(Table2[[#This Row],[Tee time1]],'Classic day 1 - groups'!$A$3:$F$20,5,FALSE),"")</f>
        <v>7.6388888888889728E-3</v>
      </c>
      <c r="I40" s="69">
        <f>IFERROR((MAX(starting_interval,IF(Table2[[#This Row],[gap1]]="NA",Table2[[#This Row],[avg gap]],Table2[[#This Row],[gap1]]))-starting_interval)*Table2[[#This Row],[followers1]]/Table2[[#This Row],[group size]],"")</f>
        <v>1.0416666666667931E-2</v>
      </c>
      <c r="J40" s="32" t="str">
        <f>_xlfn.IFNA(VLOOKUP(Table2[[#This Row],[Name]],'Classic day 2 - players'!$A$2:$B$64,2,FALSE),"")</f>
        <v/>
      </c>
      <c r="K40" s="33" t="str">
        <f>IF(Table2[[#This Row],[tee time2]]&lt;&gt;"",COUNTIF('Classic day 2 - players'!$B$2:$B$64,"="&amp;Table2[[#This Row],[tee time2]]),"")</f>
        <v/>
      </c>
      <c r="L40" s="33" t="str">
        <f>_xlfn.IFNA(VLOOKUP(Table2[[#This Row],[tee time2]],'Classic day 2 - groups'!$A$3:$F$20,6,FALSE),"")</f>
        <v/>
      </c>
      <c r="M40" s="4" t="str">
        <f>_xlfn.IFNA(VLOOKUP(Table2[[#This Row],[tee time2]],'Classic day 2 - groups'!$A$3:$F$20,4,FALSE),"")</f>
        <v/>
      </c>
      <c r="N40" s="65" t="str">
        <f>_xlfn.IFNA(VLOOKUP(Table2[[#This Row],[tee time2]],'Classic day 2 - groups'!$A$3:$F$20,5,FALSE),"")</f>
        <v/>
      </c>
      <c r="O40" s="69" t="str">
        <f>IFERROR((MAX(starting_interval,IF(Table2[[#This Row],[gap2]]="NA",Table2[[#This Row],[avg gap]],Table2[[#This Row],[gap2]]))-starting_interval)*Table2[[#This Row],[followers2]]/Table2[[#This Row],[group size2]],"")</f>
        <v/>
      </c>
      <c r="P40" s="32">
        <f>_xlfn.IFNA(VLOOKUP(Table2[[#This Row],[Name]],'Summer FD - players'!$A$2:$B$65,2,FALSE),"")</f>
        <v>0.3430555555555555</v>
      </c>
      <c r="Q40" s="59">
        <f>IF(Table2[[#This Row],[tee time3]]&lt;&gt;"",COUNTIF('Summer FD - players'!$B$2:$B$65,"="&amp;Table2[[#This Row],[tee time3]]),"")</f>
        <v>4</v>
      </c>
      <c r="R40" s="59">
        <f>_xlfn.IFNA(VLOOKUP(Table2[[#This Row],[tee time3]],'Summer FD - groups'!$A$3:$F$20,6,FALSE),"")</f>
        <v>56</v>
      </c>
      <c r="S40" s="4">
        <f>_xlfn.IFNA(VLOOKUP(Table2[[#This Row],[tee time3]],'Summer FD - groups'!$A$3:$F$20,4,FALSE),"")</f>
        <v>0.19027777777777777</v>
      </c>
      <c r="T40" s="13">
        <f>_xlfn.IFNA(VLOOKUP(Table2[[#This Row],[tee time3]],'Summer FD - groups'!$A$3:$F$20,5,FALSE),"")</f>
        <v>1.041666666666663E-2</v>
      </c>
      <c r="U40" s="69">
        <f>IF(Table2[[#This Row],[avg gap]]&lt;&gt;"",IFERROR((MAX(starting_interval,IF(Table2[[#This Row],[gap3]]="NA",Table2[[#This Row],[avg gap]],Table2[[#This Row],[gap3]]))-starting_interval)*Table2[[#This Row],[followers3]]/Table2[[#This Row],[group size3]],""),"")</f>
        <v>4.8611111111110598E-2</v>
      </c>
      <c r="V40" s="32" t="str">
        <f>_xlfn.IFNA(VLOOKUP(Table2[[#This Row],[Name]],'6-6-6 - players'!$A$2:$B$69,2,FALSE),"")</f>
        <v/>
      </c>
      <c r="W40" s="59" t="str">
        <f>IF(Table2[[#This Row],[tee time4]]&lt;&gt;"",COUNTIF('6-6-6 - players'!$B$2:$B$69,"="&amp;Table2[[#This Row],[tee time4]]),"")</f>
        <v/>
      </c>
      <c r="X40" s="59" t="str">
        <f>_xlfn.IFNA(VLOOKUP(Table2[[#This Row],[tee time4]],'6-6-6 - groups'!$A$3:$F$20,6,FALSE),"")</f>
        <v/>
      </c>
      <c r="Y40" s="4" t="str">
        <f>_xlfn.IFNA(VLOOKUP(Table2[[#This Row],[tee time4]],'6-6-6 - groups'!$A$3:$F$20,4,FALSE),"")</f>
        <v/>
      </c>
      <c r="Z40" s="13" t="str">
        <f>_xlfn.IFNA(VLOOKUP(Table2[[#This Row],[tee time4]],'6-6-6 - groups'!$A$3:$F$20,5,FALSE),"")</f>
        <v/>
      </c>
      <c r="AA40" s="69" t="str">
        <f>IF(Table2[[#This Row],[avg gap]]&lt;&gt;"",IFERROR((MAX(starting_interval,IF(Table2[[#This Row],[gap4]]="NA",Table2[[#This Row],[avg gap]],Table2[[#This Row],[gap4]]))-starting_interval)*Table2[[#This Row],[followers4]]/Table2[[#This Row],[group size4]],""),"")</f>
        <v/>
      </c>
      <c r="AB40" s="32" t="str">
        <f>_xlfn.IFNA(VLOOKUP(Table2[[#This Row],[Name]],'Fall FD - players'!$A$2:$B$65,2,FALSE),"")</f>
        <v/>
      </c>
      <c r="AC40" s="59" t="str">
        <f>IF(Table2[[#This Row],[tee time5]]&lt;&gt;"",COUNTIF('Fall FD - players'!$B$2:$B$65,"="&amp;Table2[[#This Row],[tee time5]]),"")</f>
        <v/>
      </c>
      <c r="AD40" s="59" t="str">
        <f>_xlfn.IFNA(VLOOKUP(Table2[[#This Row],[tee time5]],'Fall FD - groups'!$A$3:$F$20,6,FALSE),"")</f>
        <v/>
      </c>
      <c r="AE40" s="4" t="str">
        <f>_xlfn.IFNA(VLOOKUP(Table2[[#This Row],[tee time5]],'Fall FD - groups'!$A$3:$F$20,4,FALSE),"")</f>
        <v/>
      </c>
      <c r="AF40" s="13" t="str">
        <f>IFERROR(MIN(_xlfn.IFNA(VLOOKUP(Table2[[#This Row],[tee time5]],'Fall FD - groups'!$A$3:$F$20,5,FALSE),""),starting_interval + Table2[[#This Row],[round5]] - standard_round_time),"")</f>
        <v/>
      </c>
      <c r="AG40" s="69" t="str">
        <f>IF(AND(Table2[[#This Row],[gap5]]="NA",Table2[[#This Row],[round5]]&lt;4/24),0,IFERROR((MAX(starting_interval,IF(Table2[[#This Row],[gap5]]="NA",Table2[[#This Row],[avg gap]],Table2[[#This Row],[gap5]]))-starting_interval)*Table2[[#This Row],[followers5]]/Table2[[#This Row],[group size5]],""))</f>
        <v/>
      </c>
      <c r="AH40" s="32" t="str">
        <f>_xlfn.IFNA(VLOOKUP(Table2[[#This Row],[Name]],'Stableford - players'!$A$2:$B$65,2,FALSE),"")</f>
        <v/>
      </c>
      <c r="AI40" s="59" t="str">
        <f>IF(Table2[[#This Row],[tee time6]]&lt;&gt;"",COUNTIF('Stableford - players'!$B$2:$B$65,"="&amp;Table2[[#This Row],[tee time6]]),"")</f>
        <v/>
      </c>
      <c r="AJ40" s="59" t="str">
        <f>_xlfn.IFNA(VLOOKUP(Table2[[#This Row],[tee time6]],'Stableford - groups'!$A$3:$F$20,6,FALSE),"")</f>
        <v/>
      </c>
      <c r="AK40" s="11" t="str">
        <f>_xlfn.IFNA(VLOOKUP(Table2[[#This Row],[tee time6]],'Stableford - groups'!$A$3:$F$20,4,FALSE),"")</f>
        <v/>
      </c>
      <c r="AL40" s="13" t="str">
        <f>_xlfn.IFNA(VLOOKUP(Table2[[#This Row],[tee time6]],'Stableford - groups'!$A$3:$F$20,5,FALSE),"")</f>
        <v/>
      </c>
      <c r="AM40" s="68" t="str">
        <f>IF(AND(Table2[[#This Row],[gap6]]="NA",Table2[[#This Row],[round6]]&lt;4/24),0,IFERROR((MAX(starting_interval,IF(Table2[[#This Row],[gap6]]="NA",Table2[[#This Row],[avg gap]],Table2[[#This Row],[gap6]]))-starting_interval)*Table2[[#This Row],[followers6]]/Table2[[#This Row],[group size6]],""))</f>
        <v/>
      </c>
      <c r="AN40" s="32" t="str">
        <f>_xlfn.IFNA(VLOOKUP(Table2[[#This Row],[Name]],'Turkey Shoot - players'!$A$2:$B$65,2,FALSE),"")</f>
        <v/>
      </c>
      <c r="AO40" s="59" t="str">
        <f>IF(Table2[[#This Row],[tee time7]]&lt;&gt;"",COUNTIF('Turkey Shoot - players'!$B$2:$B$65,"="&amp;Table2[[#This Row],[tee time7]]),"")</f>
        <v/>
      </c>
      <c r="AP40" s="59" t="str">
        <f>_xlfn.IFNA(VLOOKUP(Table2[[#This Row],[tee time7]],'Stableford - groups'!$A$3:$F$20,6,FALSE),"")</f>
        <v/>
      </c>
      <c r="AQ40" s="11" t="str">
        <f>_xlfn.IFNA(VLOOKUP(Table2[[#This Row],[tee time7]],'Turkey Shoot - groups'!$A$3:$F$20,4,FALSE),"")</f>
        <v/>
      </c>
      <c r="AR40" s="13" t="str">
        <f>_xlfn.IFNA(VLOOKUP(Table2[[#This Row],[tee time7]],'Turkey Shoot - groups'!$A$3:$F$20,5,FALSE),"")</f>
        <v/>
      </c>
      <c r="AS40" s="68" t="str">
        <f>IF(AND(Table2[[#This Row],[gap7]]="NA",Table2[[#This Row],[round7]]&lt;4/24),0,IFERROR((MAX(starting_interval,IF(Table2[[#This Row],[gap7]]="NA",Table2[[#This Row],[avg gap]],Table2[[#This Row],[gap7]]))-starting_interval)*Table2[[#This Row],[followers7]]/Table2[[#This Row],[group size7]],""))</f>
        <v/>
      </c>
      <c r="AT40" s="72">
        <f>COUNT(Table2[[#This Row],[Tee time1]],Table2[[#This Row],[tee time2]],Table2[[#This Row],[tee time3]],Table2[[#This Row],[tee time4]],Table2[[#This Row],[tee time5]],Table2[[#This Row],[tee time6]],Table2[[#This Row],[tee time7]])</f>
        <v>2</v>
      </c>
      <c r="AU40" s="4">
        <f>IFERROR(AVERAGE(Table2[[#This Row],[Tee time1]],Table2[[#This Row],[tee time2]],Table2[[#This Row],[tee time3]],Table2[[#This Row],[tee time4]],Table2[[#This Row],[tee time5]],Table2[[#This Row],[tee time6]],Table2[[#This Row],[tee time7]]),"")</f>
        <v>0.34444444444444444</v>
      </c>
      <c r="AV40" s="11">
        <f>IFERROR(MEDIAN(Table2[[#This Row],[round1]],Table2[[#This Row],[Round2]],Table2[[#This Row],[round3]],Table2[[#This Row],[round4]],Table2[[#This Row],[round5]],Table2[[#This Row],[round6]],Table2[[#This Row],[round7]]),"")</f>
        <v>0.19513888888888892</v>
      </c>
      <c r="AW40" s="11">
        <f>IFERROR(AVERAGE(Table2[[#This Row],[gap1]],Table2[[#This Row],[gap2]],Table2[[#This Row],[gap3]],Table2[[#This Row],[gap4]],Table2[[#This Row],[gap5]],Table2[[#This Row],[gap6]],Table2[[#This Row],[gap7]]),"")</f>
        <v>9.0277777777778012E-3</v>
      </c>
      <c r="AX40" s="9">
        <f>IFERROR((Table2[[#This Row],[avg gap]]-starting_interval)*24*60*Table2[[#This Row],[Count]],"NA")</f>
        <v>6.0000000000000684</v>
      </c>
      <c r="AY4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5.9027777777778526E-2</v>
      </c>
      <c r="AZ40" s="2"/>
    </row>
    <row r="41" spans="1:52" x14ac:dyDescent="0.3">
      <c r="A41" s="10" t="s">
        <v>14</v>
      </c>
      <c r="B41" s="1" t="s">
        <v>252</v>
      </c>
      <c r="C41" s="19">
        <v>28.6</v>
      </c>
      <c r="D41" s="32" t="str">
        <f>_xlfn.IFNA(VLOOKUP(Table2[[#This Row],[Name]],'Classic day 1 - players'!$A$2:$B$64,2,FALSE),"")</f>
        <v/>
      </c>
      <c r="E41" s="33" t="str">
        <f>IF(Table2[[#This Row],[Tee time1]]&lt;&gt;"",COUNTIF('Classic day 1 - players'!$B$2:$B$64,"="&amp;Table2[[#This Row],[Tee time1]]),"")</f>
        <v/>
      </c>
      <c r="F41" s="33" t="str">
        <f>_xlfn.IFNA(VLOOKUP(Table2[[#This Row],[Tee time1]],'Classic day 1 - groups'!$A$3:$F$20,6,FALSE),"")</f>
        <v/>
      </c>
      <c r="G41" s="11" t="str">
        <f>_xlfn.IFNA(VLOOKUP(Table2[[#This Row],[Tee time1]],'Classic day 1 - groups'!$A$3:$F$20,4,FALSE),"")</f>
        <v/>
      </c>
      <c r="H41" s="12" t="str">
        <f>_xlfn.IFNA(VLOOKUP(Table2[[#This Row],[Tee time1]],'Classic day 1 - groups'!$A$3:$F$20,5,FALSE),"")</f>
        <v/>
      </c>
      <c r="I41" s="69" t="str">
        <f>IFERROR((MAX(starting_interval,IF(Table2[[#This Row],[gap1]]="NA",Table2[[#This Row],[avg gap]],Table2[[#This Row],[gap1]]))-starting_interval)*Table2[[#This Row],[followers1]]/Table2[[#This Row],[group size]],"")</f>
        <v/>
      </c>
      <c r="J41" s="32" t="str">
        <f>_xlfn.IFNA(VLOOKUP(Table2[[#This Row],[Name]],'Classic day 2 - players'!$A$2:$B$64,2,FALSE),"")</f>
        <v/>
      </c>
      <c r="K41" s="33" t="str">
        <f>IF(Table2[[#This Row],[tee time2]]&lt;&gt;"",COUNTIF('Classic day 2 - players'!$B$2:$B$64,"="&amp;Table2[[#This Row],[tee time2]]),"")</f>
        <v/>
      </c>
      <c r="L41" s="33" t="str">
        <f>_xlfn.IFNA(VLOOKUP(Table2[[#This Row],[tee time2]],'Classic day 2 - groups'!$A$3:$F$20,6,FALSE),"")</f>
        <v/>
      </c>
      <c r="M41" s="4" t="str">
        <f>_xlfn.IFNA(VLOOKUP(Table2[[#This Row],[tee time2]],'Classic day 2 - groups'!$A$3:$F$20,4,FALSE),"")</f>
        <v/>
      </c>
      <c r="N41" s="65" t="str">
        <f>_xlfn.IFNA(VLOOKUP(Table2[[#This Row],[tee time2]],'Classic day 2 - groups'!$A$3:$F$20,5,FALSE),"")</f>
        <v/>
      </c>
      <c r="O41" s="69" t="str">
        <f>IFERROR((MAX(starting_interval,IF(Table2[[#This Row],[gap2]]="NA",Table2[[#This Row],[avg gap]],Table2[[#This Row],[gap2]]))-starting_interval)*Table2[[#This Row],[followers2]]/Table2[[#This Row],[group size2]],"")</f>
        <v/>
      </c>
      <c r="P41" s="32">
        <f>_xlfn.IFNA(VLOOKUP(Table2[[#This Row],[Name]],'Summer FD - players'!$A$2:$B$65,2,FALSE),"")</f>
        <v>0.35000000000000003</v>
      </c>
      <c r="Q41" s="59">
        <f>IF(Table2[[#This Row],[tee time3]]&lt;&gt;"",COUNTIF('Summer FD - players'!$B$2:$B$65,"="&amp;Table2[[#This Row],[tee time3]]),"")</f>
        <v>4</v>
      </c>
      <c r="R41" s="59">
        <f>_xlfn.IFNA(VLOOKUP(Table2[[#This Row],[tee time3]],'Summer FD - groups'!$A$3:$F$20,6,FALSE),"")</f>
        <v>52</v>
      </c>
      <c r="S41" s="4">
        <f>_xlfn.IFNA(VLOOKUP(Table2[[#This Row],[tee time3]],'Summer FD - groups'!$A$3:$F$20,4,FALSE),"")</f>
        <v>0.19027777777777771</v>
      </c>
      <c r="T41" s="13">
        <f>_xlfn.IFNA(VLOOKUP(Table2[[#This Row],[tee time3]],'Summer FD - groups'!$A$3:$F$20,5,FALSE),"")</f>
        <v>6.2499999999999778E-3</v>
      </c>
      <c r="U41" s="69">
        <f>IF(Table2[[#This Row],[avg gap]]&lt;&gt;"",IFERROR((MAX(starting_interval,IF(Table2[[#This Row],[gap3]]="NA",Table2[[#This Row],[avg gap]],Table2[[#This Row],[gap3]]))-starting_interval)*Table2[[#This Row],[followers3]]/Table2[[#This Row],[group size3]],""),"")</f>
        <v>0</v>
      </c>
      <c r="V41" s="32" t="str">
        <f>_xlfn.IFNA(VLOOKUP(Table2[[#This Row],[Name]],'6-6-6 - players'!$A$2:$B$69,2,FALSE),"")</f>
        <v/>
      </c>
      <c r="W41" s="59" t="str">
        <f>IF(Table2[[#This Row],[tee time4]]&lt;&gt;"",COUNTIF('6-6-6 - players'!$B$2:$B$69,"="&amp;Table2[[#This Row],[tee time4]]),"")</f>
        <v/>
      </c>
      <c r="X41" s="59" t="str">
        <f>_xlfn.IFNA(VLOOKUP(Table2[[#This Row],[tee time4]],'6-6-6 - groups'!$A$3:$F$20,6,FALSE),"")</f>
        <v/>
      </c>
      <c r="Y41" s="4" t="str">
        <f>_xlfn.IFNA(VLOOKUP(Table2[[#This Row],[tee time4]],'6-6-6 - groups'!$A$3:$F$20,4,FALSE),"")</f>
        <v/>
      </c>
      <c r="Z41" s="13" t="str">
        <f>_xlfn.IFNA(VLOOKUP(Table2[[#This Row],[tee time4]],'6-6-6 - groups'!$A$3:$F$20,5,FALSE),"")</f>
        <v/>
      </c>
      <c r="AA41" s="69" t="str">
        <f>IF(Table2[[#This Row],[avg gap]]&lt;&gt;"",IFERROR((MAX(starting_interval,IF(Table2[[#This Row],[gap4]]="NA",Table2[[#This Row],[avg gap]],Table2[[#This Row],[gap4]]))-starting_interval)*Table2[[#This Row],[followers4]]/Table2[[#This Row],[group size4]],""),"")</f>
        <v/>
      </c>
      <c r="AB41" s="32">
        <f>_xlfn.IFNA(VLOOKUP(Table2[[#This Row],[Name]],'Fall FD - players'!$A$2:$B$65,2,FALSE),"")</f>
        <v>0.35833333333333334</v>
      </c>
      <c r="AC41" s="59">
        <f>IF(Table2[[#This Row],[tee time5]]&lt;&gt;"",COUNTIF('Fall FD - players'!$B$2:$B$65,"="&amp;Table2[[#This Row],[tee time5]]),"")</f>
        <v>4</v>
      </c>
      <c r="AD41" s="59">
        <f>_xlfn.IFNA(VLOOKUP(Table2[[#This Row],[tee time5]],'Fall FD - groups'!$A$3:$F$20,6,FALSE),"")</f>
        <v>56</v>
      </c>
      <c r="AE41" s="4">
        <f>_xlfn.IFNA(VLOOKUP(Table2[[#This Row],[tee time5]],'Fall FD - groups'!$A$3:$F$20,4,FALSE),"")</f>
        <v>0.17638888888888893</v>
      </c>
      <c r="AF41" s="13">
        <f>IFERROR(MIN(_xlfn.IFNA(VLOOKUP(Table2[[#This Row],[tee time5]],'Fall FD - groups'!$A$3:$F$20,5,FALSE),""),starting_interval + Table2[[#This Row],[round5]] - standard_round_time),"")</f>
        <v>1.1111111111111183E-2</v>
      </c>
      <c r="AG41" s="69">
        <f>IF(AND(Table2[[#This Row],[gap5]]="NA",Table2[[#This Row],[round5]]&lt;4/24),0,IFERROR((MAX(starting_interval,IF(Table2[[#This Row],[gap5]]="NA",Table2[[#This Row],[avg gap]],Table2[[#This Row],[gap5]]))-starting_interval)*Table2[[#This Row],[followers5]]/Table2[[#This Row],[group size5]],""))</f>
        <v>5.833333333333434E-2</v>
      </c>
      <c r="AH41" s="32" t="str">
        <f>_xlfn.IFNA(VLOOKUP(Table2[[#This Row],[Name]],'Stableford - players'!$A$2:$B$65,2,FALSE),"")</f>
        <v/>
      </c>
      <c r="AI41" s="59" t="str">
        <f>IF(Table2[[#This Row],[tee time6]]&lt;&gt;"",COUNTIF('Stableford - players'!$B$2:$B$65,"="&amp;Table2[[#This Row],[tee time6]]),"")</f>
        <v/>
      </c>
      <c r="AJ41" s="59" t="str">
        <f>_xlfn.IFNA(VLOOKUP(Table2[[#This Row],[tee time6]],'Stableford - groups'!$A$3:$F$20,6,FALSE),"")</f>
        <v/>
      </c>
      <c r="AK41" s="11" t="str">
        <f>_xlfn.IFNA(VLOOKUP(Table2[[#This Row],[tee time6]],'Stableford - groups'!$A$3:$F$20,4,FALSE),"")</f>
        <v/>
      </c>
      <c r="AL41" s="13" t="str">
        <f>_xlfn.IFNA(VLOOKUP(Table2[[#This Row],[tee time6]],'Stableford - groups'!$A$3:$F$20,5,FALSE),"")</f>
        <v/>
      </c>
      <c r="AM41" s="68" t="str">
        <f>IF(AND(Table2[[#This Row],[gap6]]="NA",Table2[[#This Row],[round6]]&lt;4/24),0,IFERROR((MAX(starting_interval,IF(Table2[[#This Row],[gap6]]="NA",Table2[[#This Row],[avg gap]],Table2[[#This Row],[gap6]]))-starting_interval)*Table2[[#This Row],[followers6]]/Table2[[#This Row],[group size6]],""))</f>
        <v/>
      </c>
      <c r="AN41" s="32" t="str">
        <f>_xlfn.IFNA(VLOOKUP(Table2[[#This Row],[Name]],'Turkey Shoot - players'!$A$2:$B$65,2,FALSE),"")</f>
        <v/>
      </c>
      <c r="AO41" s="59" t="str">
        <f>IF(Table2[[#This Row],[tee time7]]&lt;&gt;"",COUNTIF('Turkey Shoot - players'!$B$2:$B$65,"="&amp;Table2[[#This Row],[tee time7]]),"")</f>
        <v/>
      </c>
      <c r="AP41" s="59" t="str">
        <f>_xlfn.IFNA(VLOOKUP(Table2[[#This Row],[tee time7]],'Stableford - groups'!$A$3:$F$20,6,FALSE),"")</f>
        <v/>
      </c>
      <c r="AQ41" s="11" t="str">
        <f>_xlfn.IFNA(VLOOKUP(Table2[[#This Row],[tee time7]],'Turkey Shoot - groups'!$A$3:$F$20,4,FALSE),"")</f>
        <v/>
      </c>
      <c r="AR41" s="13" t="str">
        <f>_xlfn.IFNA(VLOOKUP(Table2[[#This Row],[tee time7]],'Turkey Shoot - groups'!$A$3:$F$20,5,FALSE),"")</f>
        <v/>
      </c>
      <c r="AS41" s="68" t="str">
        <f>IF(AND(Table2[[#This Row],[gap7]]="NA",Table2[[#This Row],[round7]]&lt;4/24),0,IFERROR((MAX(starting_interval,IF(Table2[[#This Row],[gap7]]="NA",Table2[[#This Row],[avg gap]],Table2[[#This Row],[gap7]]))-starting_interval)*Table2[[#This Row],[followers7]]/Table2[[#This Row],[group size7]],""))</f>
        <v/>
      </c>
      <c r="AT41" s="72">
        <f>COUNT(Table2[[#This Row],[Tee time1]],Table2[[#This Row],[tee time2]],Table2[[#This Row],[tee time3]],Table2[[#This Row],[tee time4]],Table2[[#This Row],[tee time5]],Table2[[#This Row],[tee time6]],Table2[[#This Row],[tee time7]])</f>
        <v>2</v>
      </c>
      <c r="AU41" s="4">
        <f>IFERROR(AVERAGE(Table2[[#This Row],[Tee time1]],Table2[[#This Row],[tee time2]],Table2[[#This Row],[tee time3]],Table2[[#This Row],[tee time4]],Table2[[#This Row],[tee time5]],Table2[[#This Row],[tee time6]],Table2[[#This Row],[tee time7]]),"")</f>
        <v>0.35416666666666669</v>
      </c>
      <c r="AV41" s="11">
        <f>IFERROR(MEDIAN(Table2[[#This Row],[round1]],Table2[[#This Row],[Round2]],Table2[[#This Row],[round3]],Table2[[#This Row],[round4]],Table2[[#This Row],[round5]],Table2[[#This Row],[round6]],Table2[[#This Row],[round7]]),"")</f>
        <v>0.18333333333333332</v>
      </c>
      <c r="AW41" s="11">
        <f>IFERROR(AVERAGE(Table2[[#This Row],[gap1]],Table2[[#This Row],[gap2]],Table2[[#This Row],[gap3]],Table2[[#This Row],[gap4]],Table2[[#This Row],[gap5]],Table2[[#This Row],[gap6]],Table2[[#This Row],[gap7]]),"")</f>
        <v>8.6805555555555802E-3</v>
      </c>
      <c r="AX41" s="9">
        <f>IFERROR((Table2[[#This Row],[avg gap]]-starting_interval)*24*60*Table2[[#This Row],[Count]],"NA")</f>
        <v>5.0000000000000719</v>
      </c>
      <c r="AY4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5.833333333333434E-2</v>
      </c>
      <c r="AZ41" s="2"/>
    </row>
    <row r="42" spans="1:52" x14ac:dyDescent="0.3">
      <c r="A42" s="10" t="s">
        <v>187</v>
      </c>
      <c r="B42" s="1" t="s">
        <v>426</v>
      </c>
      <c r="C42" s="19">
        <v>17.2</v>
      </c>
      <c r="D42" s="32">
        <f>_xlfn.IFNA(VLOOKUP(Table2[[#This Row],[Name]],'Classic day 1 - players'!$A$2:$B$64,2,FALSE),"")</f>
        <v>0.42083333333333334</v>
      </c>
      <c r="E42" s="33">
        <f>IF(Table2[[#This Row],[Tee time1]]&lt;&gt;"",COUNTIF('Classic day 1 - players'!$B$2:$B$64,"="&amp;Table2[[#This Row],[Tee time1]]),"")</f>
        <v>4</v>
      </c>
      <c r="F42" s="33">
        <f>_xlfn.IFNA(VLOOKUP(Table2[[#This Row],[Tee time1]],'Classic day 1 - groups'!$A$3:$F$20,6,FALSE),"")</f>
        <v>12</v>
      </c>
      <c r="G42" s="11">
        <f>_xlfn.IFNA(VLOOKUP(Table2[[#This Row],[Tee time1]],'Classic day 1 - groups'!$A$3:$F$20,4,FALSE),"")</f>
        <v>0.2</v>
      </c>
      <c r="H42" s="12">
        <f>_xlfn.IFNA(VLOOKUP(Table2[[#This Row],[Tee time1]],'Classic day 1 - groups'!$A$3:$F$20,5,FALSE),"")</f>
        <v>6.2499999999999778E-3</v>
      </c>
      <c r="I42" s="69">
        <f>IFERROR((MAX(starting_interval,IF(Table2[[#This Row],[gap1]]="NA",Table2[[#This Row],[avg gap]],Table2[[#This Row],[gap1]]))-starting_interval)*Table2[[#This Row],[followers1]]/Table2[[#This Row],[group size]],"")</f>
        <v>0</v>
      </c>
      <c r="J42" s="32">
        <f>_xlfn.IFNA(VLOOKUP(Table2[[#This Row],[Name]],'Classic day 2 - players'!$A$2:$B$64,2,FALSE),"")</f>
        <v>0.36458333333333331</v>
      </c>
      <c r="K42" s="33">
        <f>IF(Table2[[#This Row],[tee time2]]&lt;&gt;"",COUNTIF('Classic day 2 - players'!$B$2:$B$64,"="&amp;Table2[[#This Row],[tee time2]]),"")</f>
        <v>4</v>
      </c>
      <c r="L42" s="33">
        <f>_xlfn.IFNA(VLOOKUP(Table2[[#This Row],[tee time2]],'Classic day 2 - groups'!$A$3:$F$20,6,FALSE),"")</f>
        <v>32</v>
      </c>
      <c r="M42" s="4">
        <f>_xlfn.IFNA(VLOOKUP(Table2[[#This Row],[tee time2]],'Classic day 2 - groups'!$A$3:$F$20,4,FALSE),"")</f>
        <v>0.19027777777777777</v>
      </c>
      <c r="N42" s="65">
        <f>_xlfn.IFNA(VLOOKUP(Table2[[#This Row],[tee time2]],'Classic day 2 - groups'!$A$3:$F$20,5,FALSE),"")</f>
        <v>1.2499999999999999E-2</v>
      </c>
      <c r="O42" s="69">
        <f>IFERROR((MAX(starting_interval,IF(Table2[[#This Row],[gap2]]="NA",Table2[[#This Row],[avg gap]],Table2[[#This Row],[gap2]]))-starting_interval)*Table2[[#This Row],[followers2]]/Table2[[#This Row],[group size2]],"")</f>
        <v>4.4444444444444439E-2</v>
      </c>
      <c r="P42" s="32" t="str">
        <f>_xlfn.IFNA(VLOOKUP(Table2[[#This Row],[Name]],'Summer FD - players'!$A$2:$B$65,2,FALSE),"")</f>
        <v/>
      </c>
      <c r="Q42" s="59" t="str">
        <f>IF(Table2[[#This Row],[tee time3]]&lt;&gt;"",COUNTIF('Summer FD - players'!$B$2:$B$65,"="&amp;Table2[[#This Row],[tee time3]]),"")</f>
        <v/>
      </c>
      <c r="R42" s="59" t="str">
        <f>_xlfn.IFNA(VLOOKUP(Table2[[#This Row],[tee time3]],'Summer FD - groups'!$A$3:$F$20,6,FALSE),"")</f>
        <v/>
      </c>
      <c r="S42" s="4" t="str">
        <f>_xlfn.IFNA(VLOOKUP(Table2[[#This Row],[tee time3]],'Summer FD - groups'!$A$3:$F$20,4,FALSE),"")</f>
        <v/>
      </c>
      <c r="T42" s="13" t="str">
        <f>_xlfn.IFNA(VLOOKUP(Table2[[#This Row],[tee time3]],'Summer FD - groups'!$A$3:$F$20,5,FALSE),"")</f>
        <v/>
      </c>
      <c r="U42" s="69" t="str">
        <f>IF(Table2[[#This Row],[avg gap]]&lt;&gt;"",IFERROR((MAX(starting_interval,IF(Table2[[#This Row],[gap3]]="NA",Table2[[#This Row],[avg gap]],Table2[[#This Row],[gap3]]))-starting_interval)*Table2[[#This Row],[followers3]]/Table2[[#This Row],[group size3]],""),"")</f>
        <v/>
      </c>
      <c r="V42" s="32">
        <f>_xlfn.IFNA(VLOOKUP(Table2[[#This Row],[Name]],'6-6-6 - players'!$A$2:$B$69,2,FALSE),"")</f>
        <v>0.4375</v>
      </c>
      <c r="W42" s="59">
        <f>IF(Table2[[#This Row],[tee time4]]&lt;&gt;"",COUNTIF('6-6-6 - players'!$B$2:$B$69,"="&amp;Table2[[#This Row],[tee time4]]),"")</f>
        <v>4</v>
      </c>
      <c r="X42" s="59">
        <f>_xlfn.IFNA(VLOOKUP(Table2[[#This Row],[tee time4]],'6-6-6 - groups'!$A$3:$F$20,6,FALSE),"")</f>
        <v>8</v>
      </c>
      <c r="Y42" s="4">
        <f>_xlfn.IFNA(VLOOKUP(Table2[[#This Row],[tee time4]],'6-6-6 - groups'!$A$3:$F$20,4,FALSE),"")</f>
        <v>0.18402777777777773</v>
      </c>
      <c r="Z42" s="13">
        <f>_xlfn.IFNA(VLOOKUP(Table2[[#This Row],[tee time4]],'6-6-6 - groups'!$A$3:$F$20,5,FALSE),"")</f>
        <v>1.3888888888888951E-2</v>
      </c>
      <c r="AA42" s="69">
        <f>IF(Table2[[#This Row],[avg gap]]&lt;&gt;"",IFERROR((MAX(starting_interval,IF(Table2[[#This Row],[gap4]]="NA",Table2[[#This Row],[avg gap]],Table2[[#This Row],[gap4]]))-starting_interval)*Table2[[#This Row],[followers4]]/Table2[[#This Row],[group size4]],""),"")</f>
        <v>1.3888888888889013E-2</v>
      </c>
      <c r="AB42" s="32" t="str">
        <f>_xlfn.IFNA(VLOOKUP(Table2[[#This Row],[Name]],'Fall FD - players'!$A$2:$B$65,2,FALSE),"")</f>
        <v/>
      </c>
      <c r="AC42" s="59" t="str">
        <f>IF(Table2[[#This Row],[tee time5]]&lt;&gt;"",COUNTIF('Fall FD - players'!$B$2:$B$65,"="&amp;Table2[[#This Row],[tee time5]]),"")</f>
        <v/>
      </c>
      <c r="AD42" s="59" t="str">
        <f>_xlfn.IFNA(VLOOKUP(Table2[[#This Row],[tee time5]],'Fall FD - groups'!$A$3:$F$20,6,FALSE),"")</f>
        <v/>
      </c>
      <c r="AE42" s="4" t="str">
        <f>_xlfn.IFNA(VLOOKUP(Table2[[#This Row],[tee time5]],'Fall FD - groups'!$A$3:$F$20,4,FALSE),"")</f>
        <v/>
      </c>
      <c r="AF42" s="13" t="str">
        <f>IFERROR(MIN(_xlfn.IFNA(VLOOKUP(Table2[[#This Row],[tee time5]],'Fall FD - groups'!$A$3:$F$20,5,FALSE),""),starting_interval + Table2[[#This Row],[round5]] - standard_round_time),"")</f>
        <v/>
      </c>
      <c r="AG42" s="69" t="str">
        <f>IF(AND(Table2[[#This Row],[gap5]]="NA",Table2[[#This Row],[round5]]&lt;4/24),0,IFERROR((MAX(starting_interval,IF(Table2[[#This Row],[gap5]]="NA",Table2[[#This Row],[avg gap]],Table2[[#This Row],[gap5]]))-starting_interval)*Table2[[#This Row],[followers5]]/Table2[[#This Row],[group size5]],""))</f>
        <v/>
      </c>
      <c r="AH42" s="32" t="str">
        <f>_xlfn.IFNA(VLOOKUP(Table2[[#This Row],[Name]],'Stableford - players'!$A$2:$B$65,2,FALSE),"")</f>
        <v/>
      </c>
      <c r="AI42" s="59" t="str">
        <f>IF(Table2[[#This Row],[tee time6]]&lt;&gt;"",COUNTIF('Stableford - players'!$B$2:$B$65,"="&amp;Table2[[#This Row],[tee time6]]),"")</f>
        <v/>
      </c>
      <c r="AJ42" s="59" t="str">
        <f>_xlfn.IFNA(VLOOKUP(Table2[[#This Row],[tee time6]],'Stableford - groups'!$A$3:$F$20,6,FALSE),"")</f>
        <v/>
      </c>
      <c r="AK42" s="11" t="str">
        <f>_xlfn.IFNA(VLOOKUP(Table2[[#This Row],[tee time6]],'Stableford - groups'!$A$3:$F$20,4,FALSE),"")</f>
        <v/>
      </c>
      <c r="AL42" s="13" t="str">
        <f>_xlfn.IFNA(VLOOKUP(Table2[[#This Row],[tee time6]],'Stableford - groups'!$A$3:$F$20,5,FALSE),"")</f>
        <v/>
      </c>
      <c r="AM42" s="68" t="str">
        <f>IF(AND(Table2[[#This Row],[gap6]]="NA",Table2[[#This Row],[round6]]&lt;4/24),0,IFERROR((MAX(starting_interval,IF(Table2[[#This Row],[gap6]]="NA",Table2[[#This Row],[avg gap]],Table2[[#This Row],[gap6]]))-starting_interval)*Table2[[#This Row],[followers6]]/Table2[[#This Row],[group size6]],""))</f>
        <v/>
      </c>
      <c r="AN42" s="32" t="str">
        <f>_xlfn.IFNA(VLOOKUP(Table2[[#This Row],[Name]],'Turkey Shoot - players'!$A$2:$B$65,2,FALSE),"")</f>
        <v/>
      </c>
      <c r="AO42" s="59" t="str">
        <f>IF(Table2[[#This Row],[tee time7]]&lt;&gt;"",COUNTIF('Turkey Shoot - players'!$B$2:$B$65,"="&amp;Table2[[#This Row],[tee time7]]),"")</f>
        <v/>
      </c>
      <c r="AP42" s="59" t="str">
        <f>_xlfn.IFNA(VLOOKUP(Table2[[#This Row],[tee time7]],'Stableford - groups'!$A$3:$F$20,6,FALSE),"")</f>
        <v/>
      </c>
      <c r="AQ42" s="11" t="str">
        <f>_xlfn.IFNA(VLOOKUP(Table2[[#This Row],[tee time7]],'Turkey Shoot - groups'!$A$3:$F$20,4,FALSE),"")</f>
        <v/>
      </c>
      <c r="AR42" s="13" t="str">
        <f>_xlfn.IFNA(VLOOKUP(Table2[[#This Row],[tee time7]],'Turkey Shoot - groups'!$A$3:$F$20,5,FALSE),"")</f>
        <v/>
      </c>
      <c r="AS42" s="68" t="str">
        <f>IF(AND(Table2[[#This Row],[gap7]]="NA",Table2[[#This Row],[round7]]&lt;4/24),0,IFERROR((MAX(starting_interval,IF(Table2[[#This Row],[gap7]]="NA",Table2[[#This Row],[avg gap]],Table2[[#This Row],[gap7]]))-starting_interval)*Table2[[#This Row],[followers7]]/Table2[[#This Row],[group size7]],""))</f>
        <v/>
      </c>
      <c r="AT42" s="72">
        <f>COUNT(Table2[[#This Row],[Tee time1]],Table2[[#This Row],[tee time2]],Table2[[#This Row],[tee time3]],Table2[[#This Row],[tee time4]],Table2[[#This Row],[tee time5]],Table2[[#This Row],[tee time6]],Table2[[#This Row],[tee time7]])</f>
        <v>3</v>
      </c>
      <c r="AU42" s="4">
        <f>IFERROR(AVERAGE(Table2[[#This Row],[Tee time1]],Table2[[#This Row],[tee time2]],Table2[[#This Row],[tee time3]],Table2[[#This Row],[tee time4]],Table2[[#This Row],[tee time5]],Table2[[#This Row],[tee time6]],Table2[[#This Row],[tee time7]]),"")</f>
        <v>0.40763888888888888</v>
      </c>
      <c r="AV42" s="11">
        <f>IFERROR(MEDIAN(Table2[[#This Row],[round1]],Table2[[#This Row],[Round2]],Table2[[#This Row],[round3]],Table2[[#This Row],[round4]],Table2[[#This Row],[round5]],Table2[[#This Row],[round6]],Table2[[#This Row],[round7]]),"")</f>
        <v>0.19027777777777777</v>
      </c>
      <c r="AW42" s="11">
        <f>IFERROR(AVERAGE(Table2[[#This Row],[gap1]],Table2[[#This Row],[gap2]],Table2[[#This Row],[gap3]],Table2[[#This Row],[gap4]],Table2[[#This Row],[gap5]],Table2[[#This Row],[gap6]],Table2[[#This Row],[gap7]]),"")</f>
        <v>1.0879629629629642E-2</v>
      </c>
      <c r="AX42" s="9">
        <f>IFERROR((Table2[[#This Row],[avg gap]]-starting_interval)*24*60*Table2[[#This Row],[Count]],"NA")</f>
        <v>17.000000000000053</v>
      </c>
      <c r="AY4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5.8333333333333452E-2</v>
      </c>
      <c r="AZ42" s="2"/>
    </row>
    <row r="43" spans="1:52" x14ac:dyDescent="0.3">
      <c r="A43" s="10" t="s">
        <v>99</v>
      </c>
      <c r="B43" s="1" t="s">
        <v>338</v>
      </c>
      <c r="C43" s="19">
        <v>21</v>
      </c>
      <c r="D43" s="32">
        <f>_xlfn.IFNA(VLOOKUP(Table2[[#This Row],[Name]],'Classic day 1 - players'!$A$2:$B$64,2,FALSE),"")</f>
        <v>0.33333333333333331</v>
      </c>
      <c r="E43" s="33">
        <f>IF(Table2[[#This Row],[Tee time1]]&lt;&gt;"",COUNTIF('Classic day 1 - players'!$B$2:$B$64,"="&amp;Table2[[#This Row],[Tee time1]]),"")</f>
        <v>4</v>
      </c>
      <c r="F43" s="33">
        <f>_xlfn.IFNA(VLOOKUP(Table2[[#This Row],[Tee time1]],'Classic day 1 - groups'!$A$3:$F$20,6,FALSE),"")</f>
        <v>68</v>
      </c>
      <c r="G43" s="11">
        <f>_xlfn.IFNA(VLOOKUP(Table2[[#This Row],[Tee time1]],'Classic day 1 - groups'!$A$3:$F$20,4,FALSE),"")</f>
        <v>0.19444444444444448</v>
      </c>
      <c r="H43" s="12" t="str">
        <f>_xlfn.IFNA(VLOOKUP(Table2[[#This Row],[Tee time1]],'Classic day 1 - groups'!$A$3:$F$20,5,FALSE),"")</f>
        <v>NA</v>
      </c>
      <c r="I43" s="69">
        <f>IFERROR((MAX(starting_interval,IF(Table2[[#This Row],[gap1]]="NA",Table2[[#This Row],[avg gap]],Table2[[#This Row],[gap1]]))-starting_interval)*Table2[[#This Row],[followers1]]/Table2[[#This Row],[group size]],"")</f>
        <v>1.4756944444444245E-2</v>
      </c>
      <c r="J43" s="32">
        <f>_xlfn.IFNA(VLOOKUP(Table2[[#This Row],[Name]],'Classic day 2 - players'!$A$2:$B$64,2,FALSE),"")</f>
        <v>0.37083333333333335</v>
      </c>
      <c r="K43" s="33">
        <f>IF(Table2[[#This Row],[tee time2]]&lt;&gt;"",COUNTIF('Classic day 2 - players'!$B$2:$B$64,"="&amp;Table2[[#This Row],[tee time2]]),"")</f>
        <v>4</v>
      </c>
      <c r="L43" s="33">
        <f>_xlfn.IFNA(VLOOKUP(Table2[[#This Row],[tee time2]],'Classic day 2 - groups'!$A$3:$F$20,6,FALSE),"")</f>
        <v>28</v>
      </c>
      <c r="M43" s="4">
        <f>_xlfn.IFNA(VLOOKUP(Table2[[#This Row],[tee time2]],'Classic day 2 - groups'!$A$3:$F$20,4,FALSE),"")</f>
        <v>0.18819444444444444</v>
      </c>
      <c r="N43" s="65">
        <f>_xlfn.IFNA(VLOOKUP(Table2[[#This Row],[tee time2]],'Classic day 2 - groups'!$A$3:$F$20,5,FALSE),"")</f>
        <v>6.2499999999999995E-3</v>
      </c>
      <c r="O43" s="69">
        <f>IFERROR((MAX(starting_interval,IF(Table2[[#This Row],[gap2]]="NA",Table2[[#This Row],[avg gap]],Table2[[#This Row],[gap2]]))-starting_interval)*Table2[[#This Row],[followers2]]/Table2[[#This Row],[group size2]],"")</f>
        <v>0</v>
      </c>
      <c r="P43" s="32">
        <f>_xlfn.IFNA(VLOOKUP(Table2[[#This Row],[Name]],'Summer FD - players'!$A$2:$B$65,2,FALSE),"")</f>
        <v>0.39166666666666666</v>
      </c>
      <c r="Q43" s="59">
        <f>IF(Table2[[#This Row],[tee time3]]&lt;&gt;"",COUNTIF('Summer FD - players'!$B$2:$B$65,"="&amp;Table2[[#This Row],[tee time3]]),"")</f>
        <v>4</v>
      </c>
      <c r="R43" s="59">
        <f>_xlfn.IFNA(VLOOKUP(Table2[[#This Row],[tee time3]],'Summer FD - groups'!$A$3:$F$20,6,FALSE),"")</f>
        <v>28</v>
      </c>
      <c r="S43" s="4">
        <f>_xlfn.IFNA(VLOOKUP(Table2[[#This Row],[tee time3]],'Summer FD - groups'!$A$3:$F$20,4,FALSE),"")</f>
        <v>0.19722222222222224</v>
      </c>
      <c r="T43" s="13">
        <f>_xlfn.IFNA(VLOOKUP(Table2[[#This Row],[tee time3]],'Summer FD - groups'!$A$3:$F$20,5,FALSE),"")</f>
        <v>6.2499999999999778E-3</v>
      </c>
      <c r="U43" s="69">
        <f>IF(Table2[[#This Row],[avg gap]]&lt;&gt;"",IFERROR((MAX(starting_interval,IF(Table2[[#This Row],[gap3]]="NA",Table2[[#This Row],[avg gap]],Table2[[#This Row],[gap3]]))-starting_interval)*Table2[[#This Row],[followers3]]/Table2[[#This Row],[group size3]],""),"")</f>
        <v>0</v>
      </c>
      <c r="V43" s="32">
        <f>_xlfn.IFNA(VLOOKUP(Table2[[#This Row],[Name]],'6-6-6 - players'!$A$2:$B$69,2,FALSE),"")</f>
        <v>0.36805555555555558</v>
      </c>
      <c r="W43" s="59">
        <f>IF(Table2[[#This Row],[tee time4]]&lt;&gt;"",COUNTIF('6-6-6 - players'!$B$2:$B$69,"="&amp;Table2[[#This Row],[tee time4]]),"")</f>
        <v>4</v>
      </c>
      <c r="X43" s="59">
        <f>_xlfn.IFNA(VLOOKUP(Table2[[#This Row],[tee time4]],'6-6-6 - groups'!$A$3:$F$20,6,FALSE),"")</f>
        <v>48</v>
      </c>
      <c r="Y43" s="4">
        <f>_xlfn.IFNA(VLOOKUP(Table2[[#This Row],[tee time4]],'6-6-6 - groups'!$A$3:$F$20,4,FALSE),"")</f>
        <v>0.17430555555555555</v>
      </c>
      <c r="Z43" s="13">
        <f>_xlfn.IFNA(VLOOKUP(Table2[[#This Row],[tee time4]],'6-6-6 - groups'!$A$3:$F$20,5,FALSE),"")</f>
        <v>7.6388888888888618E-3</v>
      </c>
      <c r="AA43" s="69">
        <f>IF(Table2[[#This Row],[avg gap]]&lt;&gt;"",IFERROR((MAX(starting_interval,IF(Table2[[#This Row],[gap4]]="NA",Table2[[#This Row],[avg gap]],Table2[[#This Row],[gap4]]))-starting_interval)*Table2[[#This Row],[followers4]]/Table2[[#This Row],[group size4]],""),"")</f>
        <v>8.3333333333330123E-3</v>
      </c>
      <c r="AB43" s="32" t="str">
        <f>_xlfn.IFNA(VLOOKUP(Table2[[#This Row],[Name]],'Fall FD - players'!$A$2:$B$65,2,FALSE),"")</f>
        <v/>
      </c>
      <c r="AC43" s="59" t="str">
        <f>IF(Table2[[#This Row],[tee time5]]&lt;&gt;"",COUNTIF('Fall FD - players'!$B$2:$B$65,"="&amp;Table2[[#This Row],[tee time5]]),"")</f>
        <v/>
      </c>
      <c r="AD43" s="59" t="str">
        <f>_xlfn.IFNA(VLOOKUP(Table2[[#This Row],[tee time5]],'Fall FD - groups'!$A$3:$F$20,6,FALSE),"")</f>
        <v/>
      </c>
      <c r="AE43" s="4" t="str">
        <f>_xlfn.IFNA(VLOOKUP(Table2[[#This Row],[tee time5]],'Fall FD - groups'!$A$3:$F$20,4,FALSE),"")</f>
        <v/>
      </c>
      <c r="AF43" s="13" t="str">
        <f>IFERROR(MIN(_xlfn.IFNA(VLOOKUP(Table2[[#This Row],[tee time5]],'Fall FD - groups'!$A$3:$F$20,5,FALSE),""),starting_interval + Table2[[#This Row],[round5]] - standard_round_time),"")</f>
        <v/>
      </c>
      <c r="AG43" s="69" t="str">
        <f>IF(AND(Table2[[#This Row],[gap5]]="NA",Table2[[#This Row],[round5]]&lt;4/24),0,IFERROR((MAX(starting_interval,IF(Table2[[#This Row],[gap5]]="NA",Table2[[#This Row],[avg gap]],Table2[[#This Row],[gap5]]))-starting_interval)*Table2[[#This Row],[followers5]]/Table2[[#This Row],[group size5]],""))</f>
        <v/>
      </c>
      <c r="AH43" s="32" t="str">
        <f>_xlfn.IFNA(VLOOKUP(Table2[[#This Row],[Name]],'Stableford - players'!$A$2:$B$65,2,FALSE),"")</f>
        <v/>
      </c>
      <c r="AI43" s="59" t="str">
        <f>IF(Table2[[#This Row],[tee time6]]&lt;&gt;"",COUNTIF('Stableford - players'!$B$2:$B$65,"="&amp;Table2[[#This Row],[tee time6]]),"")</f>
        <v/>
      </c>
      <c r="AJ43" s="59" t="str">
        <f>_xlfn.IFNA(VLOOKUP(Table2[[#This Row],[tee time6]],'Stableford - groups'!$A$3:$F$20,6,FALSE),"")</f>
        <v/>
      </c>
      <c r="AK43" s="11" t="str">
        <f>_xlfn.IFNA(VLOOKUP(Table2[[#This Row],[tee time6]],'Stableford - groups'!$A$3:$F$20,4,FALSE),"")</f>
        <v/>
      </c>
      <c r="AL43" s="13" t="str">
        <f>_xlfn.IFNA(VLOOKUP(Table2[[#This Row],[tee time6]],'Stableford - groups'!$A$3:$F$20,5,FALSE),"")</f>
        <v/>
      </c>
      <c r="AM43" s="68" t="str">
        <f>IF(AND(Table2[[#This Row],[gap6]]="NA",Table2[[#This Row],[round6]]&lt;4/24),0,IFERROR((MAX(starting_interval,IF(Table2[[#This Row],[gap6]]="NA",Table2[[#This Row],[avg gap]],Table2[[#This Row],[gap6]]))-starting_interval)*Table2[[#This Row],[followers6]]/Table2[[#This Row],[group size6]],""))</f>
        <v/>
      </c>
      <c r="AN43" s="32">
        <f>_xlfn.IFNA(VLOOKUP(Table2[[#This Row],[Name]],'Turkey Shoot - players'!$A$2:$B$65,2,FALSE),"")</f>
        <v>0.38194444444444442</v>
      </c>
      <c r="AO43" s="59">
        <f>IF(Table2[[#This Row],[tee time7]]&lt;&gt;"",COUNTIF('Turkey Shoot - players'!$B$2:$B$65,"="&amp;Table2[[#This Row],[tee time7]]),"")</f>
        <v>4</v>
      </c>
      <c r="AP43" s="59">
        <f>_xlfn.IFNA(VLOOKUP(Table2[[#This Row],[tee time7]],'Stableford - groups'!$A$3:$F$20,6,FALSE),"")</f>
        <v>32</v>
      </c>
      <c r="AQ43" s="11">
        <f>_xlfn.IFNA(VLOOKUP(Table2[[#This Row],[tee time7]],'Turkey Shoot - groups'!$A$3:$F$20,4,FALSE),"")</f>
        <v>0.17291666666666672</v>
      </c>
      <c r="AR43" s="13">
        <f>_xlfn.IFNA(VLOOKUP(Table2[[#This Row],[tee time7]],'Turkey Shoot - groups'!$A$3:$F$20,5,FALSE),"")</f>
        <v>1.1111111111111112E-2</v>
      </c>
      <c r="AS43" s="68">
        <f>IF(AND(Table2[[#This Row],[gap7]]="NA",Table2[[#This Row],[round7]]&lt;4/24),0,IFERROR((MAX(starting_interval,IF(Table2[[#This Row],[gap7]]="NA",Table2[[#This Row],[avg gap]],Table2[[#This Row],[gap7]]))-starting_interval)*Table2[[#This Row],[followers7]]/Table2[[#This Row],[group size7]],""))</f>
        <v>3.333333333333334E-2</v>
      </c>
      <c r="AT43" s="72">
        <f>COUNT(Table2[[#This Row],[Tee time1]],Table2[[#This Row],[tee time2]],Table2[[#This Row],[tee time3]],Table2[[#This Row],[tee time4]],Table2[[#This Row],[tee time5]],Table2[[#This Row],[tee time6]],Table2[[#This Row],[tee time7]])</f>
        <v>5</v>
      </c>
      <c r="AU43" s="4">
        <f>IFERROR(AVERAGE(Table2[[#This Row],[Tee time1]],Table2[[#This Row],[tee time2]],Table2[[#This Row],[tee time3]],Table2[[#This Row],[tee time4]],Table2[[#This Row],[tee time5]],Table2[[#This Row],[tee time6]],Table2[[#This Row],[tee time7]]),"")</f>
        <v>0.36916666666666664</v>
      </c>
      <c r="AV43" s="11">
        <f>IFERROR(MEDIAN(Table2[[#This Row],[round1]],Table2[[#This Row],[Round2]],Table2[[#This Row],[round3]],Table2[[#This Row],[round4]],Table2[[#This Row],[round5]],Table2[[#This Row],[round6]],Table2[[#This Row],[round7]]),"")</f>
        <v>0.18819444444444444</v>
      </c>
      <c r="AW43" s="11">
        <f>IFERROR(AVERAGE(Table2[[#This Row],[gap1]],Table2[[#This Row],[gap2]],Table2[[#This Row],[gap3]],Table2[[#This Row],[gap4]],Table2[[#This Row],[gap5]],Table2[[#This Row],[gap6]],Table2[[#This Row],[gap7]]),"")</f>
        <v>7.8124999999999879E-3</v>
      </c>
      <c r="AX43" s="9">
        <f>IFERROR((Table2[[#This Row],[avg gap]]-starting_interval)*24*60*Table2[[#This Row],[Count]],"NA")</f>
        <v>6.2499999999999156</v>
      </c>
      <c r="AY4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5.6423611111110598E-2</v>
      </c>
      <c r="AZ43" s="2"/>
    </row>
    <row r="44" spans="1:52" x14ac:dyDescent="0.3">
      <c r="A44" s="10" t="s">
        <v>194</v>
      </c>
      <c r="B44" s="1" t="s">
        <v>434</v>
      </c>
      <c r="C44" s="19">
        <v>8.4</v>
      </c>
      <c r="D44" s="32" t="str">
        <f>_xlfn.IFNA(VLOOKUP(Table2[[#This Row],[Name]],'Classic day 1 - players'!$A$2:$B$64,2,FALSE),"")</f>
        <v/>
      </c>
      <c r="E44" s="33" t="str">
        <f>IF(Table2[[#This Row],[Tee time1]]&lt;&gt;"",COUNTIF('Classic day 1 - players'!$B$2:$B$64,"="&amp;Table2[[#This Row],[Tee time1]]),"")</f>
        <v/>
      </c>
      <c r="F44" s="33" t="str">
        <f>_xlfn.IFNA(VLOOKUP(Table2[[#This Row],[Tee time1]],'Classic day 1 - groups'!$A$3:$F$20,6,FALSE),"")</f>
        <v/>
      </c>
      <c r="G44" s="11" t="str">
        <f>_xlfn.IFNA(VLOOKUP(Table2[[#This Row],[Tee time1]],'Classic day 1 - groups'!$A$3:$F$20,4,FALSE),"")</f>
        <v/>
      </c>
      <c r="H44" s="12" t="str">
        <f>_xlfn.IFNA(VLOOKUP(Table2[[#This Row],[Tee time1]],'Classic day 1 - groups'!$A$3:$F$20,5,FALSE),"")</f>
        <v/>
      </c>
      <c r="I44" s="69" t="str">
        <f>IFERROR((MAX(starting_interval,IF(Table2[[#This Row],[gap1]]="NA",Table2[[#This Row],[avg gap]],Table2[[#This Row],[gap1]]))-starting_interval)*Table2[[#This Row],[followers1]]/Table2[[#This Row],[group size]],"")</f>
        <v/>
      </c>
      <c r="J44" s="32" t="str">
        <f>_xlfn.IFNA(VLOOKUP(Table2[[#This Row],[Name]],'Classic day 2 - players'!$A$2:$B$64,2,FALSE),"")</f>
        <v/>
      </c>
      <c r="K44" s="33" t="str">
        <f>IF(Table2[[#This Row],[tee time2]]&lt;&gt;"",COUNTIF('Classic day 2 - players'!$B$2:$B$64,"="&amp;Table2[[#This Row],[tee time2]]),"")</f>
        <v/>
      </c>
      <c r="L44" s="33" t="str">
        <f>_xlfn.IFNA(VLOOKUP(Table2[[#This Row],[tee time2]],'Classic day 2 - groups'!$A$3:$F$20,6,FALSE),"")</f>
        <v/>
      </c>
      <c r="M44" s="4" t="str">
        <f>_xlfn.IFNA(VLOOKUP(Table2[[#This Row],[tee time2]],'Classic day 2 - groups'!$A$3:$F$20,4,FALSE),"")</f>
        <v/>
      </c>
      <c r="N44" s="65" t="str">
        <f>_xlfn.IFNA(VLOOKUP(Table2[[#This Row],[tee time2]],'Classic day 2 - groups'!$A$3:$F$20,5,FALSE),"")</f>
        <v/>
      </c>
      <c r="O44" s="69" t="str">
        <f>IFERROR((MAX(starting_interval,IF(Table2[[#This Row],[gap2]]="NA",Table2[[#This Row],[avg gap]],Table2[[#This Row],[gap2]]))-starting_interval)*Table2[[#This Row],[followers2]]/Table2[[#This Row],[group size2]],"")</f>
        <v/>
      </c>
      <c r="P44" s="32">
        <f>_xlfn.IFNA(VLOOKUP(Table2[[#This Row],[Name]],'Summer FD - players'!$A$2:$B$65,2,FALSE),"")</f>
        <v>0.37083333333333335</v>
      </c>
      <c r="Q44" s="59">
        <f>IF(Table2[[#This Row],[tee time3]]&lt;&gt;"",COUNTIF('Summer FD - players'!$B$2:$B$65,"="&amp;Table2[[#This Row],[tee time3]]),"")</f>
        <v>4</v>
      </c>
      <c r="R44" s="59">
        <f>_xlfn.IFNA(VLOOKUP(Table2[[#This Row],[tee time3]],'Summer FD - groups'!$A$3:$F$20,6,FALSE),"")</f>
        <v>40</v>
      </c>
      <c r="S44" s="4">
        <f>_xlfn.IFNA(VLOOKUP(Table2[[#This Row],[tee time3]],'Summer FD - groups'!$A$3:$F$20,4,FALSE),"")</f>
        <v>0.18958333333333333</v>
      </c>
      <c r="T44" s="13">
        <f>_xlfn.IFNA(VLOOKUP(Table2[[#This Row],[tee time3]],'Summer FD - groups'!$A$3:$F$20,5,FALSE),"")</f>
        <v>9.0277777777778567E-3</v>
      </c>
      <c r="U44" s="69">
        <f>IF(Table2[[#This Row],[avg gap]]&lt;&gt;"",IFERROR((MAX(starting_interval,IF(Table2[[#This Row],[gap3]]="NA",Table2[[#This Row],[avg gap]],Table2[[#This Row],[gap3]]))-starting_interval)*Table2[[#This Row],[followers3]]/Table2[[#This Row],[group size3]],""),"")</f>
        <v>2.0833333333334127E-2</v>
      </c>
      <c r="V44" s="32" t="str">
        <f>_xlfn.IFNA(VLOOKUP(Table2[[#This Row],[Name]],'6-6-6 - players'!$A$2:$B$69,2,FALSE),"")</f>
        <v/>
      </c>
      <c r="W44" s="59" t="str">
        <f>IF(Table2[[#This Row],[tee time4]]&lt;&gt;"",COUNTIF('6-6-6 - players'!$B$2:$B$69,"="&amp;Table2[[#This Row],[tee time4]]),"")</f>
        <v/>
      </c>
      <c r="X44" s="59" t="str">
        <f>_xlfn.IFNA(VLOOKUP(Table2[[#This Row],[tee time4]],'6-6-6 - groups'!$A$3:$F$20,6,FALSE),"")</f>
        <v/>
      </c>
      <c r="Y44" s="4" t="str">
        <f>_xlfn.IFNA(VLOOKUP(Table2[[#This Row],[tee time4]],'6-6-6 - groups'!$A$3:$F$20,4,FALSE),"")</f>
        <v/>
      </c>
      <c r="Z44" s="13" t="str">
        <f>_xlfn.IFNA(VLOOKUP(Table2[[#This Row],[tee time4]],'6-6-6 - groups'!$A$3:$F$20,5,FALSE),"")</f>
        <v/>
      </c>
      <c r="AA44" s="69" t="str">
        <f>IF(Table2[[#This Row],[avg gap]]&lt;&gt;"",IFERROR((MAX(starting_interval,IF(Table2[[#This Row],[gap4]]="NA",Table2[[#This Row],[avg gap]],Table2[[#This Row],[gap4]]))-starting_interval)*Table2[[#This Row],[followers4]]/Table2[[#This Row],[group size4]],""),"")</f>
        <v/>
      </c>
      <c r="AB44" s="32" t="str">
        <f>_xlfn.IFNA(VLOOKUP(Table2[[#This Row],[Name]],'Fall FD - players'!$A$2:$B$65,2,FALSE),"")</f>
        <v/>
      </c>
      <c r="AC44" s="59" t="str">
        <f>IF(Table2[[#This Row],[tee time5]]&lt;&gt;"",COUNTIF('Fall FD - players'!$B$2:$B$65,"="&amp;Table2[[#This Row],[tee time5]]),"")</f>
        <v/>
      </c>
      <c r="AD44" s="59" t="str">
        <f>_xlfn.IFNA(VLOOKUP(Table2[[#This Row],[tee time5]],'Fall FD - groups'!$A$3:$F$20,6,FALSE),"")</f>
        <v/>
      </c>
      <c r="AE44" s="4" t="str">
        <f>_xlfn.IFNA(VLOOKUP(Table2[[#This Row],[tee time5]],'Fall FD - groups'!$A$3:$F$20,4,FALSE),"")</f>
        <v/>
      </c>
      <c r="AF44" s="13" t="str">
        <f>IFERROR(MIN(_xlfn.IFNA(VLOOKUP(Table2[[#This Row],[tee time5]],'Fall FD - groups'!$A$3:$F$20,5,FALSE),""),starting_interval + Table2[[#This Row],[round5]] - standard_round_time),"")</f>
        <v/>
      </c>
      <c r="AG44" s="69" t="str">
        <f>IF(AND(Table2[[#This Row],[gap5]]="NA",Table2[[#This Row],[round5]]&lt;4/24),0,IFERROR((MAX(starting_interval,IF(Table2[[#This Row],[gap5]]="NA",Table2[[#This Row],[avg gap]],Table2[[#This Row],[gap5]]))-starting_interval)*Table2[[#This Row],[followers5]]/Table2[[#This Row],[group size5]],""))</f>
        <v/>
      </c>
      <c r="AH44" s="32">
        <f>_xlfn.IFNA(VLOOKUP(Table2[[#This Row],[Name]],'Stableford - players'!$A$2:$B$65,2,FALSE),"")</f>
        <v>0.38194444444444442</v>
      </c>
      <c r="AI44" s="59">
        <f>IF(Table2[[#This Row],[tee time6]]&lt;&gt;"",COUNTIF('Stableford - players'!$B$2:$B$65,"="&amp;Table2[[#This Row],[tee time6]]),"")</f>
        <v>4</v>
      </c>
      <c r="AJ44" s="59">
        <f>_xlfn.IFNA(VLOOKUP(Table2[[#This Row],[tee time6]],'Stableford - groups'!$A$3:$F$20,6,FALSE),"")</f>
        <v>32</v>
      </c>
      <c r="AK44" s="11">
        <f>_xlfn.IFNA(VLOOKUP(Table2[[#This Row],[tee time6]],'Stableford - groups'!$A$3:$F$20,4,FALSE),"")</f>
        <v>0.17291666666666666</v>
      </c>
      <c r="AL44" s="13">
        <f>_xlfn.IFNA(VLOOKUP(Table2[[#This Row],[tee time6]],'Stableford - groups'!$A$3:$F$20,5,FALSE),"")</f>
        <v>1.1111111111111183E-2</v>
      </c>
      <c r="AM44" s="68">
        <f>IF(AND(Table2[[#This Row],[gap6]]="NA",Table2[[#This Row],[round6]]&lt;4/24),0,IFERROR((MAX(starting_interval,IF(Table2[[#This Row],[gap6]]="NA",Table2[[#This Row],[avg gap]],Table2[[#This Row],[gap6]]))-starting_interval)*Table2[[#This Row],[followers6]]/Table2[[#This Row],[group size6]],""))</f>
        <v>3.3333333333333909E-2</v>
      </c>
      <c r="AN44" s="32" t="str">
        <f>_xlfn.IFNA(VLOOKUP(Table2[[#This Row],[Name]],'Turkey Shoot - players'!$A$2:$B$65,2,FALSE),"")</f>
        <v/>
      </c>
      <c r="AO44" s="59" t="str">
        <f>IF(Table2[[#This Row],[tee time7]]&lt;&gt;"",COUNTIF('Turkey Shoot - players'!$B$2:$B$65,"="&amp;Table2[[#This Row],[tee time7]]),"")</f>
        <v/>
      </c>
      <c r="AP44" s="59" t="str">
        <f>_xlfn.IFNA(VLOOKUP(Table2[[#This Row],[tee time7]],'Stableford - groups'!$A$3:$F$20,6,FALSE),"")</f>
        <v/>
      </c>
      <c r="AQ44" s="11" t="str">
        <f>_xlfn.IFNA(VLOOKUP(Table2[[#This Row],[tee time7]],'Turkey Shoot - groups'!$A$3:$F$20,4,FALSE),"")</f>
        <v/>
      </c>
      <c r="AR44" s="13" t="str">
        <f>_xlfn.IFNA(VLOOKUP(Table2[[#This Row],[tee time7]],'Turkey Shoot - groups'!$A$3:$F$20,5,FALSE),"")</f>
        <v/>
      </c>
      <c r="AS44" s="68" t="str">
        <f>IF(AND(Table2[[#This Row],[gap7]]="NA",Table2[[#This Row],[round7]]&lt;4/24),0,IFERROR((MAX(starting_interval,IF(Table2[[#This Row],[gap7]]="NA",Table2[[#This Row],[avg gap]],Table2[[#This Row],[gap7]]))-starting_interval)*Table2[[#This Row],[followers7]]/Table2[[#This Row],[group size7]],""))</f>
        <v/>
      </c>
      <c r="AT44" s="72">
        <f>COUNT(Table2[[#This Row],[Tee time1]],Table2[[#This Row],[tee time2]],Table2[[#This Row],[tee time3]],Table2[[#This Row],[tee time4]],Table2[[#This Row],[tee time5]],Table2[[#This Row],[tee time6]],Table2[[#This Row],[tee time7]])</f>
        <v>2</v>
      </c>
      <c r="AU44" s="4">
        <f>IFERROR(AVERAGE(Table2[[#This Row],[Tee time1]],Table2[[#This Row],[tee time2]],Table2[[#This Row],[tee time3]],Table2[[#This Row],[tee time4]],Table2[[#This Row],[tee time5]],Table2[[#This Row],[tee time6]],Table2[[#This Row],[tee time7]]),"")</f>
        <v>0.37638888888888888</v>
      </c>
      <c r="AV44" s="11">
        <f>IFERROR(MEDIAN(Table2[[#This Row],[round1]],Table2[[#This Row],[Round2]],Table2[[#This Row],[round3]],Table2[[#This Row],[round4]],Table2[[#This Row],[round5]],Table2[[#This Row],[round6]],Table2[[#This Row],[round7]]),"")</f>
        <v>0.18124999999999999</v>
      </c>
      <c r="AW44" s="11">
        <f>IFERROR(AVERAGE(Table2[[#This Row],[gap1]],Table2[[#This Row],[gap2]],Table2[[#This Row],[gap3]],Table2[[#This Row],[gap4]],Table2[[#This Row],[gap5]],Table2[[#This Row],[gap6]],Table2[[#This Row],[gap7]]),"")</f>
        <v>1.006944444444452E-2</v>
      </c>
      <c r="AX44" s="9">
        <f>IFERROR((Table2[[#This Row],[avg gap]]-starting_interval)*24*60*Table2[[#This Row],[Count]],"NA")</f>
        <v>9.0000000000002185</v>
      </c>
      <c r="AY4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5.4166666666668035E-2</v>
      </c>
      <c r="AZ44" s="2"/>
    </row>
    <row r="45" spans="1:52" x14ac:dyDescent="0.3">
      <c r="A45" s="10" t="s">
        <v>211</v>
      </c>
      <c r="B45" s="1" t="s">
        <v>452</v>
      </c>
      <c r="C45" s="19">
        <v>21.5</v>
      </c>
      <c r="D45" s="32">
        <f>_xlfn.IFNA(VLOOKUP(Table2[[#This Row],[Name]],'Classic day 1 - players'!$A$2:$B$64,2,FALSE),"")</f>
        <v>0.3520833333333333</v>
      </c>
      <c r="E45" s="33">
        <f>IF(Table2[[#This Row],[Tee time1]]&lt;&gt;"",COUNTIF('Classic day 1 - players'!$B$2:$B$64,"="&amp;Table2[[#This Row],[Tee time1]]),"")</f>
        <v>4</v>
      </c>
      <c r="F45" s="33">
        <f>_xlfn.IFNA(VLOOKUP(Table2[[#This Row],[Tee time1]],'Classic day 1 - groups'!$A$3:$F$20,6,FALSE),"")</f>
        <v>56</v>
      </c>
      <c r="G45" s="11">
        <f>_xlfn.IFNA(VLOOKUP(Table2[[#This Row],[Tee time1]],'Classic day 1 - groups'!$A$3:$F$20,4,FALSE),"")</f>
        <v>0.20347222222222222</v>
      </c>
      <c r="H45" s="12">
        <f>_xlfn.IFNA(VLOOKUP(Table2[[#This Row],[Tee time1]],'Classic day 1 - groups'!$A$3:$F$20,5,FALSE),"")</f>
        <v>9.7222222222221877E-3</v>
      </c>
      <c r="I45" s="69">
        <f>IFERROR((MAX(starting_interval,IF(Table2[[#This Row],[gap1]]="NA",Table2[[#This Row],[avg gap]],Table2[[#This Row],[gap1]]))-starting_interval)*Table2[[#This Row],[followers1]]/Table2[[#This Row],[group size]],"")</f>
        <v>3.8888888888888411E-2</v>
      </c>
      <c r="J45" s="32">
        <f>_xlfn.IFNA(VLOOKUP(Table2[[#This Row],[Name]],'Classic day 2 - players'!$A$2:$B$64,2,FALSE),"")</f>
        <v>0.3520833333333333</v>
      </c>
      <c r="K45" s="33">
        <f>IF(Table2[[#This Row],[tee time2]]&lt;&gt;"",COUNTIF('Classic day 2 - players'!$B$2:$B$64,"="&amp;Table2[[#This Row],[tee time2]]),"")</f>
        <v>4</v>
      </c>
      <c r="L45" s="33">
        <f>_xlfn.IFNA(VLOOKUP(Table2[[#This Row],[tee time2]],'Classic day 2 - groups'!$A$3:$F$20,6,FALSE),"")</f>
        <v>40</v>
      </c>
      <c r="M45" s="4">
        <f>_xlfn.IFNA(VLOOKUP(Table2[[#This Row],[tee time2]],'Classic day 2 - groups'!$A$3:$F$20,4,FALSE),"")</f>
        <v>0.18819444444444444</v>
      </c>
      <c r="N45" s="65">
        <f>_xlfn.IFNA(VLOOKUP(Table2[[#This Row],[tee time2]],'Classic day 2 - groups'!$A$3:$F$20,5,FALSE),"")</f>
        <v>8.3333333333333332E-3</v>
      </c>
      <c r="O45" s="69">
        <f>IFERROR((MAX(starting_interval,IF(Table2[[#This Row],[gap2]]="NA",Table2[[#This Row],[avg gap]],Table2[[#This Row],[gap2]]))-starting_interval)*Table2[[#This Row],[followers2]]/Table2[[#This Row],[group size2]],"")</f>
        <v>1.3888888888888892E-2</v>
      </c>
      <c r="P45" s="32" t="str">
        <f>_xlfn.IFNA(VLOOKUP(Table2[[#This Row],[Name]],'Summer FD - players'!$A$2:$B$65,2,FALSE),"")</f>
        <v/>
      </c>
      <c r="Q45" s="59" t="str">
        <f>IF(Table2[[#This Row],[tee time3]]&lt;&gt;"",COUNTIF('Summer FD - players'!$B$2:$B$65,"="&amp;Table2[[#This Row],[tee time3]]),"")</f>
        <v/>
      </c>
      <c r="R45" s="59" t="str">
        <f>_xlfn.IFNA(VLOOKUP(Table2[[#This Row],[tee time3]],'Summer FD - groups'!$A$3:$F$20,6,FALSE),"")</f>
        <v/>
      </c>
      <c r="S45" s="4" t="str">
        <f>_xlfn.IFNA(VLOOKUP(Table2[[#This Row],[tee time3]],'Summer FD - groups'!$A$3:$F$20,4,FALSE),"")</f>
        <v/>
      </c>
      <c r="T45" s="13" t="str">
        <f>_xlfn.IFNA(VLOOKUP(Table2[[#This Row],[tee time3]],'Summer FD - groups'!$A$3:$F$20,5,FALSE),"")</f>
        <v/>
      </c>
      <c r="U45" s="69" t="str">
        <f>IF(Table2[[#This Row],[avg gap]]&lt;&gt;"",IFERROR((MAX(starting_interval,IF(Table2[[#This Row],[gap3]]="NA",Table2[[#This Row],[avg gap]],Table2[[#This Row],[gap3]]))-starting_interval)*Table2[[#This Row],[followers3]]/Table2[[#This Row],[group size3]],""),"")</f>
        <v/>
      </c>
      <c r="V45" s="32" t="str">
        <f>_xlfn.IFNA(VLOOKUP(Table2[[#This Row],[Name]],'6-6-6 - players'!$A$2:$B$69,2,FALSE),"")</f>
        <v/>
      </c>
      <c r="W45" s="59" t="str">
        <f>IF(Table2[[#This Row],[tee time4]]&lt;&gt;"",COUNTIF('6-6-6 - players'!$B$2:$B$69,"="&amp;Table2[[#This Row],[tee time4]]),"")</f>
        <v/>
      </c>
      <c r="X45" s="59" t="str">
        <f>_xlfn.IFNA(VLOOKUP(Table2[[#This Row],[tee time4]],'6-6-6 - groups'!$A$3:$F$20,6,FALSE),"")</f>
        <v/>
      </c>
      <c r="Y45" s="4" t="str">
        <f>_xlfn.IFNA(VLOOKUP(Table2[[#This Row],[tee time4]],'6-6-6 - groups'!$A$3:$F$20,4,FALSE),"")</f>
        <v/>
      </c>
      <c r="Z45" s="13" t="str">
        <f>_xlfn.IFNA(VLOOKUP(Table2[[#This Row],[tee time4]],'6-6-6 - groups'!$A$3:$F$20,5,FALSE),"")</f>
        <v/>
      </c>
      <c r="AA45" s="69" t="str">
        <f>IF(Table2[[#This Row],[avg gap]]&lt;&gt;"",IFERROR((MAX(starting_interval,IF(Table2[[#This Row],[gap4]]="NA",Table2[[#This Row],[avg gap]],Table2[[#This Row],[gap4]]))-starting_interval)*Table2[[#This Row],[followers4]]/Table2[[#This Row],[group size4]],""),"")</f>
        <v/>
      </c>
      <c r="AB45" s="32" t="str">
        <f>_xlfn.IFNA(VLOOKUP(Table2[[#This Row],[Name]],'Fall FD - players'!$A$2:$B$65,2,FALSE),"")</f>
        <v/>
      </c>
      <c r="AC45" s="59" t="str">
        <f>IF(Table2[[#This Row],[tee time5]]&lt;&gt;"",COUNTIF('Fall FD - players'!$B$2:$B$65,"="&amp;Table2[[#This Row],[tee time5]]),"")</f>
        <v/>
      </c>
      <c r="AD45" s="59" t="str">
        <f>_xlfn.IFNA(VLOOKUP(Table2[[#This Row],[tee time5]],'Fall FD - groups'!$A$3:$F$20,6,FALSE),"")</f>
        <v/>
      </c>
      <c r="AE45" s="4" t="str">
        <f>_xlfn.IFNA(VLOOKUP(Table2[[#This Row],[tee time5]],'Fall FD - groups'!$A$3:$F$20,4,FALSE),"")</f>
        <v/>
      </c>
      <c r="AF45" s="13" t="str">
        <f>IFERROR(MIN(_xlfn.IFNA(VLOOKUP(Table2[[#This Row],[tee time5]],'Fall FD - groups'!$A$3:$F$20,5,FALSE),""),starting_interval + Table2[[#This Row],[round5]] - standard_round_time),"")</f>
        <v/>
      </c>
      <c r="AG45" s="69" t="str">
        <f>IF(AND(Table2[[#This Row],[gap5]]="NA",Table2[[#This Row],[round5]]&lt;4/24),0,IFERROR((MAX(starting_interval,IF(Table2[[#This Row],[gap5]]="NA",Table2[[#This Row],[avg gap]],Table2[[#This Row],[gap5]]))-starting_interval)*Table2[[#This Row],[followers5]]/Table2[[#This Row],[group size5]],""))</f>
        <v/>
      </c>
      <c r="AH45" s="32">
        <f>_xlfn.IFNA(VLOOKUP(Table2[[#This Row],[Name]],'Stableford - players'!$A$2:$B$65,2,FALSE),"")</f>
        <v>0.35416666666666669</v>
      </c>
      <c r="AI45" s="59">
        <f>IF(Table2[[#This Row],[tee time6]]&lt;&gt;"",COUNTIF('Stableford - players'!$B$2:$B$65,"="&amp;Table2[[#This Row],[tee time6]]),"")</f>
        <v>4</v>
      </c>
      <c r="AJ45" s="59">
        <f>_xlfn.IFNA(VLOOKUP(Table2[[#This Row],[tee time6]],'Stableford - groups'!$A$3:$F$20,6,FALSE),"")</f>
        <v>48</v>
      </c>
      <c r="AK45" s="11">
        <f>_xlfn.IFNA(VLOOKUP(Table2[[#This Row],[tee time6]],'Stableford - groups'!$A$3:$F$20,4,FALSE),"")</f>
        <v>0.16666666666666669</v>
      </c>
      <c r="AL45" s="13">
        <f>_xlfn.IFNA(VLOOKUP(Table2[[#This Row],[tee time6]],'Stableford - groups'!$A$3:$F$20,5,FALSE),"")</f>
        <v>3.4722222222223209E-3</v>
      </c>
      <c r="AM45" s="68">
        <f>IF(AND(Table2[[#This Row],[gap6]]="NA",Table2[[#This Row],[round6]]&lt;4/24),0,IFERROR((MAX(starting_interval,IF(Table2[[#This Row],[gap6]]="NA",Table2[[#This Row],[avg gap]],Table2[[#This Row],[gap6]]))-starting_interval)*Table2[[#This Row],[followers6]]/Table2[[#This Row],[group size6]],""))</f>
        <v>0</v>
      </c>
      <c r="AN45" s="32">
        <f>_xlfn.IFNA(VLOOKUP(Table2[[#This Row],[Name]],'Turkey Shoot - players'!$A$2:$B$65,2,FALSE),"")</f>
        <v>0.3888888888888889</v>
      </c>
      <c r="AO45" s="59">
        <f>IF(Table2[[#This Row],[tee time7]]&lt;&gt;"",COUNTIF('Turkey Shoot - players'!$B$2:$B$65,"="&amp;Table2[[#This Row],[tee time7]]),"")</f>
        <v>4</v>
      </c>
      <c r="AP45" s="59">
        <f>_xlfn.IFNA(VLOOKUP(Table2[[#This Row],[tee time7]],'Stableford - groups'!$A$3:$F$20,6,FALSE),"")</f>
        <v>28</v>
      </c>
      <c r="AQ45" s="11">
        <f>_xlfn.IFNA(VLOOKUP(Table2[[#This Row],[tee time7]],'Turkey Shoot - groups'!$A$3:$F$20,4,FALSE),"")</f>
        <v>0.1701388888888889</v>
      </c>
      <c r="AR45" s="13">
        <f>_xlfn.IFNA(VLOOKUP(Table2[[#This Row],[tee time7]],'Turkey Shoot - groups'!$A$3:$F$20,5,FALSE),"")</f>
        <v>4.1666666666666666E-3</v>
      </c>
      <c r="AS45" s="68">
        <f>IF(AND(Table2[[#This Row],[gap7]]="NA",Table2[[#This Row],[round7]]&lt;4/24),0,IFERROR((MAX(starting_interval,IF(Table2[[#This Row],[gap7]]="NA",Table2[[#This Row],[avg gap]],Table2[[#This Row],[gap7]]))-starting_interval)*Table2[[#This Row],[followers7]]/Table2[[#This Row],[group size7]],""))</f>
        <v>0</v>
      </c>
      <c r="AT45" s="72">
        <f>COUNT(Table2[[#This Row],[Tee time1]],Table2[[#This Row],[tee time2]],Table2[[#This Row],[tee time3]],Table2[[#This Row],[tee time4]],Table2[[#This Row],[tee time5]],Table2[[#This Row],[tee time6]],Table2[[#This Row],[tee time7]])</f>
        <v>4</v>
      </c>
      <c r="AU45" s="4">
        <f>IFERROR(AVERAGE(Table2[[#This Row],[Tee time1]],Table2[[#This Row],[tee time2]],Table2[[#This Row],[tee time3]],Table2[[#This Row],[tee time4]],Table2[[#This Row],[tee time5]],Table2[[#This Row],[tee time6]],Table2[[#This Row],[tee time7]]),"")</f>
        <v>0.36180555555555555</v>
      </c>
      <c r="AV45" s="11">
        <f>IFERROR(MEDIAN(Table2[[#This Row],[round1]],Table2[[#This Row],[Round2]],Table2[[#This Row],[round3]],Table2[[#This Row],[round4]],Table2[[#This Row],[round5]],Table2[[#This Row],[round6]],Table2[[#This Row],[round7]]),"")</f>
        <v>0.17916666666666667</v>
      </c>
      <c r="AW45" s="11">
        <f>IFERROR(AVERAGE(Table2[[#This Row],[gap1]],Table2[[#This Row],[gap2]],Table2[[#This Row],[gap3]],Table2[[#This Row],[gap4]],Table2[[#This Row],[gap5]],Table2[[#This Row],[gap6]],Table2[[#This Row],[gap7]]),"")</f>
        <v>6.4236111111111265E-3</v>
      </c>
      <c r="AX45" s="9">
        <f>IFERROR((Table2[[#This Row],[avg gap]]-starting_interval)*24*60*Table2[[#This Row],[Count]],"NA")</f>
        <v>-2.9999999999999094</v>
      </c>
      <c r="AY4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5.2777777777777299E-2</v>
      </c>
      <c r="AZ45" s="2"/>
    </row>
    <row r="46" spans="1:52" x14ac:dyDescent="0.3">
      <c r="A46" s="10" t="s">
        <v>65</v>
      </c>
      <c r="B46" s="1" t="s">
        <v>303</v>
      </c>
      <c r="C46" s="19">
        <v>9.4</v>
      </c>
      <c r="D46" s="32" t="str">
        <f>_xlfn.IFNA(VLOOKUP(Table2[[#This Row],[Name]],'Classic day 1 - players'!$A$2:$B$64,2,FALSE),"")</f>
        <v/>
      </c>
      <c r="E46" s="33" t="str">
        <f>IF(Table2[[#This Row],[Tee time1]]&lt;&gt;"",COUNTIF('Classic day 1 - players'!$B$2:$B$64,"="&amp;Table2[[#This Row],[Tee time1]]),"")</f>
        <v/>
      </c>
      <c r="F46" s="33" t="str">
        <f>_xlfn.IFNA(VLOOKUP(Table2[[#This Row],[Tee time1]],'Classic day 1 - groups'!$A$3:$F$20,6,FALSE),"")</f>
        <v/>
      </c>
      <c r="G46" s="11" t="str">
        <f>_xlfn.IFNA(VLOOKUP(Table2[[#This Row],[Tee time1]],'Classic day 1 - groups'!$A$3:$F$20,4,FALSE),"")</f>
        <v/>
      </c>
      <c r="H46" s="12" t="str">
        <f>_xlfn.IFNA(VLOOKUP(Table2[[#This Row],[Tee time1]],'Classic day 1 - groups'!$A$3:$F$20,5,FALSE),"")</f>
        <v/>
      </c>
      <c r="I46" s="69" t="str">
        <f>IFERROR((MAX(starting_interval,IF(Table2[[#This Row],[gap1]]="NA",Table2[[#This Row],[avg gap]],Table2[[#This Row],[gap1]]))-starting_interval)*Table2[[#This Row],[followers1]]/Table2[[#This Row],[group size]],"")</f>
        <v/>
      </c>
      <c r="J46" s="32" t="str">
        <f>_xlfn.IFNA(VLOOKUP(Table2[[#This Row],[Name]],'Classic day 2 - players'!$A$2:$B$64,2,FALSE),"")</f>
        <v/>
      </c>
      <c r="K46" s="33" t="str">
        <f>IF(Table2[[#This Row],[tee time2]]&lt;&gt;"",COUNTIF('Classic day 2 - players'!$B$2:$B$64,"="&amp;Table2[[#This Row],[tee time2]]),"")</f>
        <v/>
      </c>
      <c r="L46" s="33" t="str">
        <f>_xlfn.IFNA(VLOOKUP(Table2[[#This Row],[tee time2]],'Classic day 2 - groups'!$A$3:$F$20,6,FALSE),"")</f>
        <v/>
      </c>
      <c r="M46" s="4" t="str">
        <f>_xlfn.IFNA(VLOOKUP(Table2[[#This Row],[tee time2]],'Classic day 2 - groups'!$A$3:$F$20,4,FALSE),"")</f>
        <v/>
      </c>
      <c r="N46" s="65" t="str">
        <f>_xlfn.IFNA(VLOOKUP(Table2[[#This Row],[tee time2]],'Classic day 2 - groups'!$A$3:$F$20,5,FALSE),"")</f>
        <v/>
      </c>
      <c r="O46" s="69" t="str">
        <f>IFERROR((MAX(starting_interval,IF(Table2[[#This Row],[gap2]]="NA",Table2[[#This Row],[avg gap]],Table2[[#This Row],[gap2]]))-starting_interval)*Table2[[#This Row],[followers2]]/Table2[[#This Row],[group size2]],"")</f>
        <v/>
      </c>
      <c r="P46" s="32">
        <f>_xlfn.IFNA(VLOOKUP(Table2[[#This Row],[Name]],'Summer FD - players'!$A$2:$B$65,2,FALSE),"")</f>
        <v>0.4055555555555555</v>
      </c>
      <c r="Q46" s="59">
        <f>IF(Table2[[#This Row],[tee time3]]&lt;&gt;"",COUNTIF('Summer FD - players'!$B$2:$B$65,"="&amp;Table2[[#This Row],[tee time3]]),"")</f>
        <v>4</v>
      </c>
      <c r="R46" s="59">
        <f>_xlfn.IFNA(VLOOKUP(Table2[[#This Row],[tee time3]],'Summer FD - groups'!$A$3:$F$20,6,FALSE),"")</f>
        <v>20</v>
      </c>
      <c r="S46" s="4">
        <f>_xlfn.IFNA(VLOOKUP(Table2[[#This Row],[tee time3]],'Summer FD - groups'!$A$3:$F$20,4,FALSE),"")</f>
        <v>0.19791666666666669</v>
      </c>
      <c r="T46" s="13">
        <f>_xlfn.IFNA(VLOOKUP(Table2[[#This Row],[tee time3]],'Summer FD - groups'!$A$3:$F$20,5,FALSE),"")</f>
        <v>9.0277777777777457E-3</v>
      </c>
      <c r="U46" s="69">
        <f>IF(Table2[[#This Row],[avg gap]]&lt;&gt;"",IFERROR((MAX(starting_interval,IF(Table2[[#This Row],[gap3]]="NA",Table2[[#This Row],[avg gap]],Table2[[#This Row],[gap3]]))-starting_interval)*Table2[[#This Row],[followers3]]/Table2[[#This Row],[group size3]],""),"")</f>
        <v>1.0416666666666508E-2</v>
      </c>
      <c r="V46" s="32">
        <f>_xlfn.IFNA(VLOOKUP(Table2[[#This Row],[Name]],'6-6-6 - players'!$A$2:$B$69,2,FALSE),"")</f>
        <v>0.36805555555555558</v>
      </c>
      <c r="W46" s="59">
        <f>IF(Table2[[#This Row],[tee time4]]&lt;&gt;"",COUNTIF('6-6-6 - players'!$B$2:$B$69,"="&amp;Table2[[#This Row],[tee time4]]),"")</f>
        <v>4</v>
      </c>
      <c r="X46" s="59">
        <f>_xlfn.IFNA(VLOOKUP(Table2[[#This Row],[tee time4]],'6-6-6 - groups'!$A$3:$F$20,6,FALSE),"")</f>
        <v>48</v>
      </c>
      <c r="Y46" s="4">
        <f>_xlfn.IFNA(VLOOKUP(Table2[[#This Row],[tee time4]],'6-6-6 - groups'!$A$3:$F$20,4,FALSE),"")</f>
        <v>0.17430555555555555</v>
      </c>
      <c r="Z46" s="13">
        <f>_xlfn.IFNA(VLOOKUP(Table2[[#This Row],[tee time4]],'6-6-6 - groups'!$A$3:$F$20,5,FALSE),"")</f>
        <v>7.6388888888888618E-3</v>
      </c>
      <c r="AA46" s="69">
        <f>IF(Table2[[#This Row],[avg gap]]&lt;&gt;"",IFERROR((MAX(starting_interval,IF(Table2[[#This Row],[gap4]]="NA",Table2[[#This Row],[avg gap]],Table2[[#This Row],[gap4]]))-starting_interval)*Table2[[#This Row],[followers4]]/Table2[[#This Row],[group size4]],""),"")</f>
        <v>8.3333333333330123E-3</v>
      </c>
      <c r="AB46" s="32" t="str">
        <f>_xlfn.IFNA(VLOOKUP(Table2[[#This Row],[Name]],'Fall FD - players'!$A$2:$B$65,2,FALSE),"")</f>
        <v/>
      </c>
      <c r="AC46" s="59" t="str">
        <f>IF(Table2[[#This Row],[tee time5]]&lt;&gt;"",COUNTIF('Fall FD - players'!$B$2:$B$65,"="&amp;Table2[[#This Row],[tee time5]]),"")</f>
        <v/>
      </c>
      <c r="AD46" s="59" t="str">
        <f>_xlfn.IFNA(VLOOKUP(Table2[[#This Row],[tee time5]],'Fall FD - groups'!$A$3:$F$20,6,FALSE),"")</f>
        <v/>
      </c>
      <c r="AE46" s="4" t="str">
        <f>_xlfn.IFNA(VLOOKUP(Table2[[#This Row],[tee time5]],'Fall FD - groups'!$A$3:$F$20,4,FALSE),"")</f>
        <v/>
      </c>
      <c r="AF46" s="13" t="str">
        <f>IFERROR(MIN(_xlfn.IFNA(VLOOKUP(Table2[[#This Row],[tee time5]],'Fall FD - groups'!$A$3:$F$20,5,FALSE),""),starting_interval + Table2[[#This Row],[round5]] - standard_round_time),"")</f>
        <v/>
      </c>
      <c r="AG46" s="69" t="str">
        <f>IF(AND(Table2[[#This Row],[gap5]]="NA",Table2[[#This Row],[round5]]&lt;4/24),0,IFERROR((MAX(starting_interval,IF(Table2[[#This Row],[gap5]]="NA",Table2[[#This Row],[avg gap]],Table2[[#This Row],[gap5]]))-starting_interval)*Table2[[#This Row],[followers5]]/Table2[[#This Row],[group size5]],""))</f>
        <v/>
      </c>
      <c r="AH46" s="32" t="str">
        <f>_xlfn.IFNA(VLOOKUP(Table2[[#This Row],[Name]],'Stableford - players'!$A$2:$B$65,2,FALSE),"")</f>
        <v/>
      </c>
      <c r="AI46" s="59" t="str">
        <f>IF(Table2[[#This Row],[tee time6]]&lt;&gt;"",COUNTIF('Stableford - players'!$B$2:$B$65,"="&amp;Table2[[#This Row],[tee time6]]),"")</f>
        <v/>
      </c>
      <c r="AJ46" s="59" t="str">
        <f>_xlfn.IFNA(VLOOKUP(Table2[[#This Row],[tee time6]],'Stableford - groups'!$A$3:$F$20,6,FALSE),"")</f>
        <v/>
      </c>
      <c r="AK46" s="11" t="str">
        <f>_xlfn.IFNA(VLOOKUP(Table2[[#This Row],[tee time6]],'Stableford - groups'!$A$3:$F$20,4,FALSE),"")</f>
        <v/>
      </c>
      <c r="AL46" s="13" t="str">
        <f>_xlfn.IFNA(VLOOKUP(Table2[[#This Row],[tee time6]],'Stableford - groups'!$A$3:$F$20,5,FALSE),"")</f>
        <v/>
      </c>
      <c r="AM46" s="68" t="str">
        <f>IF(AND(Table2[[#This Row],[gap6]]="NA",Table2[[#This Row],[round6]]&lt;4/24),0,IFERROR((MAX(starting_interval,IF(Table2[[#This Row],[gap6]]="NA",Table2[[#This Row],[avg gap]],Table2[[#This Row],[gap6]]))-starting_interval)*Table2[[#This Row],[followers6]]/Table2[[#This Row],[group size6]],""))</f>
        <v/>
      </c>
      <c r="AN46" s="32">
        <f>_xlfn.IFNA(VLOOKUP(Table2[[#This Row],[Name]],'Turkey Shoot - players'!$A$2:$B$65,2,FALSE),"")</f>
        <v>0.38194444444444442</v>
      </c>
      <c r="AO46" s="59">
        <f>IF(Table2[[#This Row],[tee time7]]&lt;&gt;"",COUNTIF('Turkey Shoot - players'!$B$2:$B$65,"="&amp;Table2[[#This Row],[tee time7]]),"")</f>
        <v>4</v>
      </c>
      <c r="AP46" s="59">
        <f>_xlfn.IFNA(VLOOKUP(Table2[[#This Row],[tee time7]],'Stableford - groups'!$A$3:$F$20,6,FALSE),"")</f>
        <v>32</v>
      </c>
      <c r="AQ46" s="11">
        <f>_xlfn.IFNA(VLOOKUP(Table2[[#This Row],[tee time7]],'Turkey Shoot - groups'!$A$3:$F$20,4,FALSE),"")</f>
        <v>0.17291666666666672</v>
      </c>
      <c r="AR46" s="13">
        <f>_xlfn.IFNA(VLOOKUP(Table2[[#This Row],[tee time7]],'Turkey Shoot - groups'!$A$3:$F$20,5,FALSE),"")</f>
        <v>1.1111111111111112E-2</v>
      </c>
      <c r="AS46" s="68">
        <f>IF(AND(Table2[[#This Row],[gap7]]="NA",Table2[[#This Row],[round7]]&lt;4/24),0,IFERROR((MAX(starting_interval,IF(Table2[[#This Row],[gap7]]="NA",Table2[[#This Row],[avg gap]],Table2[[#This Row],[gap7]]))-starting_interval)*Table2[[#This Row],[followers7]]/Table2[[#This Row],[group size7]],""))</f>
        <v>3.333333333333334E-2</v>
      </c>
      <c r="AT46" s="72">
        <f>COUNT(Table2[[#This Row],[Tee time1]],Table2[[#This Row],[tee time2]],Table2[[#This Row],[tee time3]],Table2[[#This Row],[tee time4]],Table2[[#This Row],[tee time5]],Table2[[#This Row],[tee time6]],Table2[[#This Row],[tee time7]])</f>
        <v>3</v>
      </c>
      <c r="AU46" s="4">
        <f>IFERROR(AVERAGE(Table2[[#This Row],[Tee time1]],Table2[[#This Row],[tee time2]],Table2[[#This Row],[tee time3]],Table2[[#This Row],[tee time4]],Table2[[#This Row],[tee time5]],Table2[[#This Row],[tee time6]],Table2[[#This Row],[tee time7]]),"")</f>
        <v>0.38518518518518513</v>
      </c>
      <c r="AV46" s="11">
        <f>IFERROR(MEDIAN(Table2[[#This Row],[round1]],Table2[[#This Row],[Round2]],Table2[[#This Row],[round3]],Table2[[#This Row],[round4]],Table2[[#This Row],[round5]],Table2[[#This Row],[round6]],Table2[[#This Row],[round7]]),"")</f>
        <v>0.17430555555555555</v>
      </c>
      <c r="AW46" s="11">
        <f>IFERROR(AVERAGE(Table2[[#This Row],[gap1]],Table2[[#This Row],[gap2]],Table2[[#This Row],[gap3]],Table2[[#This Row],[gap4]],Table2[[#This Row],[gap5]],Table2[[#This Row],[gap6]],Table2[[#This Row],[gap7]]),"")</f>
        <v>9.2592592592592397E-3</v>
      </c>
      <c r="AX46" s="9">
        <f>IFERROR((Table2[[#This Row],[avg gap]]-starting_interval)*24*60*Table2[[#This Row],[Count]],"NA")</f>
        <v>9.9999999999999165</v>
      </c>
      <c r="AY4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5.2083333333332857E-2</v>
      </c>
      <c r="AZ46" s="2"/>
    </row>
    <row r="47" spans="1:52" x14ac:dyDescent="0.3">
      <c r="A47" s="10" t="s">
        <v>106</v>
      </c>
      <c r="B47" s="1" t="s">
        <v>345</v>
      </c>
      <c r="C47" s="19">
        <v>16.8</v>
      </c>
      <c r="D47" s="32" t="str">
        <f>_xlfn.IFNA(VLOOKUP(Table2[[#This Row],[Name]],'Classic day 1 - players'!$A$2:$B$64,2,FALSE),"")</f>
        <v/>
      </c>
      <c r="E47" s="33" t="str">
        <f>IF(Table2[[#This Row],[Tee time1]]&lt;&gt;"",COUNTIF('Classic day 1 - players'!$B$2:$B$64,"="&amp;Table2[[#This Row],[Tee time1]]),"")</f>
        <v/>
      </c>
      <c r="F47" s="33" t="str">
        <f>_xlfn.IFNA(VLOOKUP(Table2[[#This Row],[Tee time1]],'Classic day 1 - groups'!$A$3:$F$20,6,FALSE),"")</f>
        <v/>
      </c>
      <c r="G47" s="11" t="str">
        <f>_xlfn.IFNA(VLOOKUP(Table2[[#This Row],[Tee time1]],'Classic day 1 - groups'!$A$3:$F$20,4,FALSE),"")</f>
        <v/>
      </c>
      <c r="H47" s="12" t="str">
        <f>_xlfn.IFNA(VLOOKUP(Table2[[#This Row],[Tee time1]],'Classic day 1 - groups'!$A$3:$F$20,5,FALSE),"")</f>
        <v/>
      </c>
      <c r="I47" s="69" t="str">
        <f>IFERROR((MAX(starting_interval,IF(Table2[[#This Row],[gap1]]="NA",Table2[[#This Row],[avg gap]],Table2[[#This Row],[gap1]]))-starting_interval)*Table2[[#This Row],[followers1]]/Table2[[#This Row],[group size]],"")</f>
        <v/>
      </c>
      <c r="J47" s="32" t="str">
        <f>_xlfn.IFNA(VLOOKUP(Table2[[#This Row],[Name]],'Classic day 2 - players'!$A$2:$B$64,2,FALSE),"")</f>
        <v/>
      </c>
      <c r="K47" s="33" t="str">
        <f>IF(Table2[[#This Row],[tee time2]]&lt;&gt;"",COUNTIF('Classic day 2 - players'!$B$2:$B$64,"="&amp;Table2[[#This Row],[tee time2]]),"")</f>
        <v/>
      </c>
      <c r="L47" s="33" t="str">
        <f>_xlfn.IFNA(VLOOKUP(Table2[[#This Row],[tee time2]],'Classic day 2 - groups'!$A$3:$F$20,6,FALSE),"")</f>
        <v/>
      </c>
      <c r="M47" s="4" t="str">
        <f>_xlfn.IFNA(VLOOKUP(Table2[[#This Row],[tee time2]],'Classic day 2 - groups'!$A$3:$F$20,4,FALSE),"")</f>
        <v/>
      </c>
      <c r="N47" s="65" t="str">
        <f>_xlfn.IFNA(VLOOKUP(Table2[[#This Row],[tee time2]],'Classic day 2 - groups'!$A$3:$F$20,5,FALSE),"")</f>
        <v/>
      </c>
      <c r="O47" s="69" t="str">
        <f>IFERROR((MAX(starting_interval,IF(Table2[[#This Row],[gap2]]="NA",Table2[[#This Row],[avg gap]],Table2[[#This Row],[gap2]]))-starting_interval)*Table2[[#This Row],[followers2]]/Table2[[#This Row],[group size2]],"")</f>
        <v/>
      </c>
      <c r="P47" s="32">
        <f>_xlfn.IFNA(VLOOKUP(Table2[[#This Row],[Name]],'Summer FD - players'!$A$2:$B$65,2,FALSE),"")</f>
        <v>0.3430555555555555</v>
      </c>
      <c r="Q47" s="59">
        <f>IF(Table2[[#This Row],[tee time3]]&lt;&gt;"",COUNTIF('Summer FD - players'!$B$2:$B$65,"="&amp;Table2[[#This Row],[tee time3]]),"")</f>
        <v>4</v>
      </c>
      <c r="R47" s="59">
        <f>_xlfn.IFNA(VLOOKUP(Table2[[#This Row],[tee time3]],'Summer FD - groups'!$A$3:$F$20,6,FALSE),"")</f>
        <v>56</v>
      </c>
      <c r="S47" s="4">
        <f>_xlfn.IFNA(VLOOKUP(Table2[[#This Row],[tee time3]],'Summer FD - groups'!$A$3:$F$20,4,FALSE),"")</f>
        <v>0.19027777777777777</v>
      </c>
      <c r="T47" s="13">
        <f>_xlfn.IFNA(VLOOKUP(Table2[[#This Row],[tee time3]],'Summer FD - groups'!$A$3:$F$20,5,FALSE),"")</f>
        <v>1.041666666666663E-2</v>
      </c>
      <c r="U47" s="69">
        <f>IF(Table2[[#This Row],[avg gap]]&lt;&gt;"",IFERROR((MAX(starting_interval,IF(Table2[[#This Row],[gap3]]="NA",Table2[[#This Row],[avg gap]],Table2[[#This Row],[gap3]]))-starting_interval)*Table2[[#This Row],[followers3]]/Table2[[#This Row],[group size3]],""),"")</f>
        <v>4.8611111111110598E-2</v>
      </c>
      <c r="V47" s="32" t="str">
        <f>_xlfn.IFNA(VLOOKUP(Table2[[#This Row],[Name]],'6-6-6 - players'!$A$2:$B$69,2,FALSE),"")</f>
        <v/>
      </c>
      <c r="W47" s="59" t="str">
        <f>IF(Table2[[#This Row],[tee time4]]&lt;&gt;"",COUNTIF('6-6-6 - players'!$B$2:$B$69,"="&amp;Table2[[#This Row],[tee time4]]),"")</f>
        <v/>
      </c>
      <c r="X47" s="59" t="str">
        <f>_xlfn.IFNA(VLOOKUP(Table2[[#This Row],[tee time4]],'6-6-6 - groups'!$A$3:$F$20,6,FALSE),"")</f>
        <v/>
      </c>
      <c r="Y47" s="4" t="str">
        <f>_xlfn.IFNA(VLOOKUP(Table2[[#This Row],[tee time4]],'6-6-6 - groups'!$A$3:$F$20,4,FALSE),"")</f>
        <v/>
      </c>
      <c r="Z47" s="13" t="str">
        <f>_xlfn.IFNA(VLOOKUP(Table2[[#This Row],[tee time4]],'6-6-6 - groups'!$A$3:$F$20,5,FALSE),"")</f>
        <v/>
      </c>
      <c r="AA47" s="69" t="str">
        <f>IF(Table2[[#This Row],[avg gap]]&lt;&gt;"",IFERROR((MAX(starting_interval,IF(Table2[[#This Row],[gap4]]="NA",Table2[[#This Row],[avg gap]],Table2[[#This Row],[gap4]]))-starting_interval)*Table2[[#This Row],[followers4]]/Table2[[#This Row],[group size4]],""),"")</f>
        <v/>
      </c>
      <c r="AB47" s="32" t="str">
        <f>_xlfn.IFNA(VLOOKUP(Table2[[#This Row],[Name]],'Fall FD - players'!$A$2:$B$65,2,FALSE),"")</f>
        <v/>
      </c>
      <c r="AC47" s="59" t="str">
        <f>IF(Table2[[#This Row],[tee time5]]&lt;&gt;"",COUNTIF('Fall FD - players'!$B$2:$B$65,"="&amp;Table2[[#This Row],[tee time5]]),"")</f>
        <v/>
      </c>
      <c r="AD47" s="59" t="str">
        <f>_xlfn.IFNA(VLOOKUP(Table2[[#This Row],[tee time5]],'Fall FD - groups'!$A$3:$F$20,6,FALSE),"")</f>
        <v/>
      </c>
      <c r="AE47" s="4" t="str">
        <f>_xlfn.IFNA(VLOOKUP(Table2[[#This Row],[tee time5]],'Fall FD - groups'!$A$3:$F$20,4,FALSE),"")</f>
        <v/>
      </c>
      <c r="AF47" s="13" t="str">
        <f>IFERROR(MIN(_xlfn.IFNA(VLOOKUP(Table2[[#This Row],[tee time5]],'Fall FD - groups'!$A$3:$F$20,5,FALSE),""),starting_interval + Table2[[#This Row],[round5]] - standard_round_time),"")</f>
        <v/>
      </c>
      <c r="AG47" s="69" t="str">
        <f>IF(AND(Table2[[#This Row],[gap5]]="NA",Table2[[#This Row],[round5]]&lt;4/24),0,IFERROR((MAX(starting_interval,IF(Table2[[#This Row],[gap5]]="NA",Table2[[#This Row],[avg gap]],Table2[[#This Row],[gap5]]))-starting_interval)*Table2[[#This Row],[followers5]]/Table2[[#This Row],[group size5]],""))</f>
        <v/>
      </c>
      <c r="AH47" s="32" t="str">
        <f>_xlfn.IFNA(VLOOKUP(Table2[[#This Row],[Name]],'Stableford - players'!$A$2:$B$65,2,FALSE),"")</f>
        <v/>
      </c>
      <c r="AI47" s="59" t="str">
        <f>IF(Table2[[#This Row],[tee time6]]&lt;&gt;"",COUNTIF('Stableford - players'!$B$2:$B$65,"="&amp;Table2[[#This Row],[tee time6]]),"")</f>
        <v/>
      </c>
      <c r="AJ47" s="59" t="str">
        <f>_xlfn.IFNA(VLOOKUP(Table2[[#This Row],[tee time6]],'Stableford - groups'!$A$3:$F$20,6,FALSE),"")</f>
        <v/>
      </c>
      <c r="AK47" s="11" t="str">
        <f>_xlfn.IFNA(VLOOKUP(Table2[[#This Row],[tee time6]],'Stableford - groups'!$A$3:$F$20,4,FALSE),"")</f>
        <v/>
      </c>
      <c r="AL47" s="13" t="str">
        <f>_xlfn.IFNA(VLOOKUP(Table2[[#This Row],[tee time6]],'Stableford - groups'!$A$3:$F$20,5,FALSE),"")</f>
        <v/>
      </c>
      <c r="AM47" s="68" t="str">
        <f>IF(AND(Table2[[#This Row],[gap6]]="NA",Table2[[#This Row],[round6]]&lt;4/24),0,IFERROR((MAX(starting_interval,IF(Table2[[#This Row],[gap6]]="NA",Table2[[#This Row],[avg gap]],Table2[[#This Row],[gap6]]))-starting_interval)*Table2[[#This Row],[followers6]]/Table2[[#This Row],[group size6]],""))</f>
        <v/>
      </c>
      <c r="AN47" s="32" t="str">
        <f>_xlfn.IFNA(VLOOKUP(Table2[[#This Row],[Name]],'Turkey Shoot - players'!$A$2:$B$65,2,FALSE),"")</f>
        <v/>
      </c>
      <c r="AO47" s="59" t="str">
        <f>IF(Table2[[#This Row],[tee time7]]&lt;&gt;"",COUNTIF('Turkey Shoot - players'!$B$2:$B$65,"="&amp;Table2[[#This Row],[tee time7]]),"")</f>
        <v/>
      </c>
      <c r="AP47" s="59" t="str">
        <f>_xlfn.IFNA(VLOOKUP(Table2[[#This Row],[tee time7]],'Stableford - groups'!$A$3:$F$20,6,FALSE),"")</f>
        <v/>
      </c>
      <c r="AQ47" s="11" t="str">
        <f>_xlfn.IFNA(VLOOKUP(Table2[[#This Row],[tee time7]],'Turkey Shoot - groups'!$A$3:$F$20,4,FALSE),"")</f>
        <v/>
      </c>
      <c r="AR47" s="13" t="str">
        <f>_xlfn.IFNA(VLOOKUP(Table2[[#This Row],[tee time7]],'Turkey Shoot - groups'!$A$3:$F$20,5,FALSE),"")</f>
        <v/>
      </c>
      <c r="AS47" s="68" t="str">
        <f>IF(AND(Table2[[#This Row],[gap7]]="NA",Table2[[#This Row],[round7]]&lt;4/24),0,IFERROR((MAX(starting_interval,IF(Table2[[#This Row],[gap7]]="NA",Table2[[#This Row],[avg gap]],Table2[[#This Row],[gap7]]))-starting_interval)*Table2[[#This Row],[followers7]]/Table2[[#This Row],[group size7]],""))</f>
        <v/>
      </c>
      <c r="AT47" s="72">
        <f>COUNT(Table2[[#This Row],[Tee time1]],Table2[[#This Row],[tee time2]],Table2[[#This Row],[tee time3]],Table2[[#This Row],[tee time4]],Table2[[#This Row],[tee time5]],Table2[[#This Row],[tee time6]],Table2[[#This Row],[tee time7]])</f>
        <v>1</v>
      </c>
      <c r="AU47" s="4">
        <f>IFERROR(AVERAGE(Table2[[#This Row],[Tee time1]],Table2[[#This Row],[tee time2]],Table2[[#This Row],[tee time3]],Table2[[#This Row],[tee time4]],Table2[[#This Row],[tee time5]],Table2[[#This Row],[tee time6]],Table2[[#This Row],[tee time7]]),"")</f>
        <v>0.3430555555555555</v>
      </c>
      <c r="AV47" s="11">
        <f>IFERROR(MEDIAN(Table2[[#This Row],[round1]],Table2[[#This Row],[Round2]],Table2[[#This Row],[round3]],Table2[[#This Row],[round4]],Table2[[#This Row],[round5]],Table2[[#This Row],[round6]],Table2[[#This Row],[round7]]),"")</f>
        <v>0.19027777777777777</v>
      </c>
      <c r="AW47" s="11">
        <f>IFERROR(AVERAGE(Table2[[#This Row],[gap1]],Table2[[#This Row],[gap2]],Table2[[#This Row],[gap3]],Table2[[#This Row],[gap4]],Table2[[#This Row],[gap5]],Table2[[#This Row],[gap6]],Table2[[#This Row],[gap7]]),"")</f>
        <v>1.041666666666663E-2</v>
      </c>
      <c r="AX47" s="9">
        <f>IFERROR((Table2[[#This Row],[avg gap]]-starting_interval)*24*60*Table2[[#This Row],[Count]],"NA")</f>
        <v>4.9999999999999476</v>
      </c>
      <c r="AY4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4.8611111111110598E-2</v>
      </c>
      <c r="AZ47" s="2"/>
    </row>
    <row r="48" spans="1:52" x14ac:dyDescent="0.3">
      <c r="A48" s="10" t="s">
        <v>69</v>
      </c>
      <c r="B48" s="1" t="s">
        <v>308</v>
      </c>
      <c r="C48" s="19">
        <v>14.7</v>
      </c>
      <c r="D48" s="32" t="str">
        <f>_xlfn.IFNA(VLOOKUP(Table2[[#This Row],[Name]],'Classic day 1 - players'!$A$2:$B$64,2,FALSE),"")</f>
        <v/>
      </c>
      <c r="E48" s="33" t="str">
        <f>IF(Table2[[#This Row],[Tee time1]]&lt;&gt;"",COUNTIF('Classic day 1 - players'!$B$2:$B$64,"="&amp;Table2[[#This Row],[Tee time1]]),"")</f>
        <v/>
      </c>
      <c r="F48" s="33" t="str">
        <f>_xlfn.IFNA(VLOOKUP(Table2[[#This Row],[Tee time1]],'Classic day 1 - groups'!$A$3:$F$20,6,FALSE),"")</f>
        <v/>
      </c>
      <c r="G48" s="11" t="str">
        <f>_xlfn.IFNA(VLOOKUP(Table2[[#This Row],[Tee time1]],'Classic day 1 - groups'!$A$3:$F$20,4,FALSE),"")</f>
        <v/>
      </c>
      <c r="H48" s="12" t="str">
        <f>_xlfn.IFNA(VLOOKUP(Table2[[#This Row],[Tee time1]],'Classic day 1 - groups'!$A$3:$F$20,5,FALSE),"")</f>
        <v/>
      </c>
      <c r="I48" s="69" t="str">
        <f>IFERROR((MAX(starting_interval,IF(Table2[[#This Row],[gap1]]="NA",Table2[[#This Row],[avg gap]],Table2[[#This Row],[gap1]]))-starting_interval)*Table2[[#This Row],[followers1]]/Table2[[#This Row],[group size]],"")</f>
        <v/>
      </c>
      <c r="J48" s="32" t="str">
        <f>_xlfn.IFNA(VLOOKUP(Table2[[#This Row],[Name]],'Classic day 2 - players'!$A$2:$B$64,2,FALSE),"")</f>
        <v/>
      </c>
      <c r="K48" s="33" t="str">
        <f>IF(Table2[[#This Row],[tee time2]]&lt;&gt;"",COUNTIF('Classic day 2 - players'!$B$2:$B$64,"="&amp;Table2[[#This Row],[tee time2]]),"")</f>
        <v/>
      </c>
      <c r="L48" s="33" t="str">
        <f>_xlfn.IFNA(VLOOKUP(Table2[[#This Row],[tee time2]],'Classic day 2 - groups'!$A$3:$F$20,6,FALSE),"")</f>
        <v/>
      </c>
      <c r="M48" s="4" t="str">
        <f>_xlfn.IFNA(VLOOKUP(Table2[[#This Row],[tee time2]],'Classic day 2 - groups'!$A$3:$F$20,4,FALSE),"")</f>
        <v/>
      </c>
      <c r="N48" s="65" t="str">
        <f>_xlfn.IFNA(VLOOKUP(Table2[[#This Row],[tee time2]],'Classic day 2 - groups'!$A$3:$F$20,5,FALSE),"")</f>
        <v/>
      </c>
      <c r="O48" s="69" t="str">
        <f>IFERROR((MAX(starting_interval,IF(Table2[[#This Row],[gap2]]="NA",Table2[[#This Row],[avg gap]],Table2[[#This Row],[gap2]]))-starting_interval)*Table2[[#This Row],[followers2]]/Table2[[#This Row],[group size2]],"")</f>
        <v/>
      </c>
      <c r="P48" s="32">
        <f>_xlfn.IFNA(VLOOKUP(Table2[[#This Row],[Name]],'Summer FD - players'!$A$2:$B$65,2,FALSE),"")</f>
        <v>0.4055555555555555</v>
      </c>
      <c r="Q48" s="59">
        <f>IF(Table2[[#This Row],[tee time3]]&lt;&gt;"",COUNTIF('Summer FD - players'!$B$2:$B$65,"="&amp;Table2[[#This Row],[tee time3]]),"")</f>
        <v>4</v>
      </c>
      <c r="R48" s="59">
        <f>_xlfn.IFNA(VLOOKUP(Table2[[#This Row],[tee time3]],'Summer FD - groups'!$A$3:$F$20,6,FALSE),"")</f>
        <v>20</v>
      </c>
      <c r="S48" s="4">
        <f>_xlfn.IFNA(VLOOKUP(Table2[[#This Row],[tee time3]],'Summer FD - groups'!$A$3:$F$20,4,FALSE),"")</f>
        <v>0.19791666666666669</v>
      </c>
      <c r="T48" s="13">
        <f>_xlfn.IFNA(VLOOKUP(Table2[[#This Row],[tee time3]],'Summer FD - groups'!$A$3:$F$20,5,FALSE),"")</f>
        <v>9.0277777777777457E-3</v>
      </c>
      <c r="U48" s="69">
        <f>IF(Table2[[#This Row],[avg gap]]&lt;&gt;"",IFERROR((MAX(starting_interval,IF(Table2[[#This Row],[gap3]]="NA",Table2[[#This Row],[avg gap]],Table2[[#This Row],[gap3]]))-starting_interval)*Table2[[#This Row],[followers3]]/Table2[[#This Row],[group size3]],""),"")</f>
        <v>1.0416666666666508E-2</v>
      </c>
      <c r="V48" s="32" t="str">
        <f>_xlfn.IFNA(VLOOKUP(Table2[[#This Row],[Name]],'6-6-6 - players'!$A$2:$B$69,2,FALSE),"")</f>
        <v/>
      </c>
      <c r="W48" s="59" t="str">
        <f>IF(Table2[[#This Row],[tee time4]]&lt;&gt;"",COUNTIF('6-6-6 - players'!$B$2:$B$69,"="&amp;Table2[[#This Row],[tee time4]]),"")</f>
        <v/>
      </c>
      <c r="X48" s="59" t="str">
        <f>_xlfn.IFNA(VLOOKUP(Table2[[#This Row],[tee time4]],'6-6-6 - groups'!$A$3:$F$20,6,FALSE),"")</f>
        <v/>
      </c>
      <c r="Y48" s="4" t="str">
        <f>_xlfn.IFNA(VLOOKUP(Table2[[#This Row],[tee time4]],'6-6-6 - groups'!$A$3:$F$20,4,FALSE),"")</f>
        <v/>
      </c>
      <c r="Z48" s="13" t="str">
        <f>_xlfn.IFNA(VLOOKUP(Table2[[#This Row],[tee time4]],'6-6-6 - groups'!$A$3:$F$20,5,FALSE),"")</f>
        <v/>
      </c>
      <c r="AA48" s="69" t="str">
        <f>IF(Table2[[#This Row],[avg gap]]&lt;&gt;"",IFERROR((MAX(starting_interval,IF(Table2[[#This Row],[gap4]]="NA",Table2[[#This Row],[avg gap]],Table2[[#This Row],[gap4]]))-starting_interval)*Table2[[#This Row],[followers4]]/Table2[[#This Row],[group size4]],""),"")</f>
        <v/>
      </c>
      <c r="AB48" s="32" t="str">
        <f>_xlfn.IFNA(VLOOKUP(Table2[[#This Row],[Name]],'Fall FD - players'!$A$2:$B$65,2,FALSE),"")</f>
        <v/>
      </c>
      <c r="AC48" s="59" t="str">
        <f>IF(Table2[[#This Row],[tee time5]]&lt;&gt;"",COUNTIF('Fall FD - players'!$B$2:$B$65,"="&amp;Table2[[#This Row],[tee time5]]),"")</f>
        <v/>
      </c>
      <c r="AD48" s="59" t="str">
        <f>_xlfn.IFNA(VLOOKUP(Table2[[#This Row],[tee time5]],'Fall FD - groups'!$A$3:$F$20,6,FALSE),"")</f>
        <v/>
      </c>
      <c r="AE48" s="4" t="str">
        <f>_xlfn.IFNA(VLOOKUP(Table2[[#This Row],[tee time5]],'Fall FD - groups'!$A$3:$F$20,4,FALSE),"")</f>
        <v/>
      </c>
      <c r="AF48" s="13" t="str">
        <f>IFERROR(MIN(_xlfn.IFNA(VLOOKUP(Table2[[#This Row],[tee time5]],'Fall FD - groups'!$A$3:$F$20,5,FALSE),""),starting_interval + Table2[[#This Row],[round5]] - standard_round_time),"")</f>
        <v/>
      </c>
      <c r="AG48" s="69" t="str">
        <f>IF(AND(Table2[[#This Row],[gap5]]="NA",Table2[[#This Row],[round5]]&lt;4/24),0,IFERROR((MAX(starting_interval,IF(Table2[[#This Row],[gap5]]="NA",Table2[[#This Row],[avg gap]],Table2[[#This Row],[gap5]]))-starting_interval)*Table2[[#This Row],[followers5]]/Table2[[#This Row],[group size5]],""))</f>
        <v/>
      </c>
      <c r="AH48" s="32" t="str">
        <f>_xlfn.IFNA(VLOOKUP(Table2[[#This Row],[Name]],'Stableford - players'!$A$2:$B$65,2,FALSE),"")</f>
        <v/>
      </c>
      <c r="AI48" s="59" t="str">
        <f>IF(Table2[[#This Row],[tee time6]]&lt;&gt;"",COUNTIF('Stableford - players'!$B$2:$B$65,"="&amp;Table2[[#This Row],[tee time6]]),"")</f>
        <v/>
      </c>
      <c r="AJ48" s="59" t="str">
        <f>_xlfn.IFNA(VLOOKUP(Table2[[#This Row],[tee time6]],'Stableford - groups'!$A$3:$F$20,6,FALSE),"")</f>
        <v/>
      </c>
      <c r="AK48" s="11" t="str">
        <f>_xlfn.IFNA(VLOOKUP(Table2[[#This Row],[tee time6]],'Stableford - groups'!$A$3:$F$20,4,FALSE),"")</f>
        <v/>
      </c>
      <c r="AL48" s="13" t="str">
        <f>_xlfn.IFNA(VLOOKUP(Table2[[#This Row],[tee time6]],'Stableford - groups'!$A$3:$F$20,5,FALSE),"")</f>
        <v/>
      </c>
      <c r="AM48" s="68" t="str">
        <f>IF(AND(Table2[[#This Row],[gap6]]="NA",Table2[[#This Row],[round6]]&lt;4/24),0,IFERROR((MAX(starting_interval,IF(Table2[[#This Row],[gap6]]="NA",Table2[[#This Row],[avg gap]],Table2[[#This Row],[gap6]]))-starting_interval)*Table2[[#This Row],[followers6]]/Table2[[#This Row],[group size6]],""))</f>
        <v/>
      </c>
      <c r="AN48" s="32">
        <f>_xlfn.IFNA(VLOOKUP(Table2[[#This Row],[Name]],'Turkey Shoot - players'!$A$2:$B$65,2,FALSE),"")</f>
        <v>0.38194444444444442</v>
      </c>
      <c r="AO48" s="59">
        <f>IF(Table2[[#This Row],[tee time7]]&lt;&gt;"",COUNTIF('Turkey Shoot - players'!$B$2:$B$65,"="&amp;Table2[[#This Row],[tee time7]]),"")</f>
        <v>4</v>
      </c>
      <c r="AP48" s="59">
        <f>_xlfn.IFNA(VLOOKUP(Table2[[#This Row],[tee time7]],'Stableford - groups'!$A$3:$F$20,6,FALSE),"")</f>
        <v>32</v>
      </c>
      <c r="AQ48" s="11">
        <f>_xlfn.IFNA(VLOOKUP(Table2[[#This Row],[tee time7]],'Turkey Shoot - groups'!$A$3:$F$20,4,FALSE),"")</f>
        <v>0.17291666666666672</v>
      </c>
      <c r="AR48" s="13">
        <f>_xlfn.IFNA(VLOOKUP(Table2[[#This Row],[tee time7]],'Turkey Shoot - groups'!$A$3:$F$20,5,FALSE),"")</f>
        <v>1.1111111111111112E-2</v>
      </c>
      <c r="AS48" s="68">
        <f>IF(AND(Table2[[#This Row],[gap7]]="NA",Table2[[#This Row],[round7]]&lt;4/24),0,IFERROR((MAX(starting_interval,IF(Table2[[#This Row],[gap7]]="NA",Table2[[#This Row],[avg gap]],Table2[[#This Row],[gap7]]))-starting_interval)*Table2[[#This Row],[followers7]]/Table2[[#This Row],[group size7]],""))</f>
        <v>3.333333333333334E-2</v>
      </c>
      <c r="AT48" s="72">
        <f>COUNT(Table2[[#This Row],[Tee time1]],Table2[[#This Row],[tee time2]],Table2[[#This Row],[tee time3]],Table2[[#This Row],[tee time4]],Table2[[#This Row],[tee time5]],Table2[[#This Row],[tee time6]],Table2[[#This Row],[tee time7]])</f>
        <v>2</v>
      </c>
      <c r="AU48" s="4">
        <f>IFERROR(AVERAGE(Table2[[#This Row],[Tee time1]],Table2[[#This Row],[tee time2]],Table2[[#This Row],[tee time3]],Table2[[#This Row],[tee time4]],Table2[[#This Row],[tee time5]],Table2[[#This Row],[tee time6]],Table2[[#This Row],[tee time7]]),"")</f>
        <v>0.39374999999999993</v>
      </c>
      <c r="AV48" s="11">
        <f>IFERROR(MEDIAN(Table2[[#This Row],[round1]],Table2[[#This Row],[Round2]],Table2[[#This Row],[round3]],Table2[[#This Row],[round4]],Table2[[#This Row],[round5]],Table2[[#This Row],[round6]],Table2[[#This Row],[round7]]),"")</f>
        <v>0.1854166666666667</v>
      </c>
      <c r="AW48" s="11">
        <f>IFERROR(AVERAGE(Table2[[#This Row],[gap1]],Table2[[#This Row],[gap2]],Table2[[#This Row],[gap3]],Table2[[#This Row],[gap4]],Table2[[#This Row],[gap5]],Table2[[#This Row],[gap6]],Table2[[#This Row],[gap7]]),"")</f>
        <v>1.0069444444444429E-2</v>
      </c>
      <c r="AX48" s="9">
        <f>IFERROR((Table2[[#This Row],[avg gap]]-starting_interval)*24*60*Table2[[#This Row],[Count]],"NA")</f>
        <v>8.9999999999999574</v>
      </c>
      <c r="AY4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4.3749999999999845E-2</v>
      </c>
      <c r="AZ48" s="2"/>
    </row>
    <row r="49" spans="1:52" x14ac:dyDescent="0.3">
      <c r="A49" s="10" t="s">
        <v>154</v>
      </c>
      <c r="B49" s="1" t="s">
        <v>395</v>
      </c>
      <c r="C49" s="19">
        <v>17.5</v>
      </c>
      <c r="D49" s="32">
        <f>_xlfn.IFNA(VLOOKUP(Table2[[#This Row],[Name]],'Classic day 1 - players'!$A$2:$B$64,2,FALSE),"")</f>
        <v>0.43333333333333335</v>
      </c>
      <c r="E49" s="33">
        <f>IF(Table2[[#This Row],[Tee time1]]&lt;&gt;"",COUNTIF('Classic day 1 - players'!$B$2:$B$64,"="&amp;Table2[[#This Row],[Tee time1]]),"")</f>
        <v>4</v>
      </c>
      <c r="F49" s="33">
        <f>_xlfn.IFNA(VLOOKUP(Table2[[#This Row],[Tee time1]],'Classic day 1 - groups'!$A$3:$F$20,6,FALSE),"")</f>
        <v>4</v>
      </c>
      <c r="G49" s="11">
        <f>_xlfn.IFNA(VLOOKUP(Table2[[#This Row],[Tee time1]],'Classic day 1 - groups'!$A$3:$F$20,4,FALSE),"")</f>
        <v>0.19652777777777775</v>
      </c>
      <c r="H49" s="12">
        <f>_xlfn.IFNA(VLOOKUP(Table2[[#This Row],[Tee time1]],'Classic day 1 - groups'!$A$3:$F$20,5,FALSE),"")</f>
        <v>7.6388888888888618E-3</v>
      </c>
      <c r="I49" s="69">
        <f>IFERROR((MAX(starting_interval,IF(Table2[[#This Row],[gap1]]="NA",Table2[[#This Row],[avg gap]],Table2[[#This Row],[gap1]]))-starting_interval)*Table2[[#This Row],[followers1]]/Table2[[#This Row],[group size]],"")</f>
        <v>6.9444444444441769E-4</v>
      </c>
      <c r="J49" s="32">
        <f>_xlfn.IFNA(VLOOKUP(Table2[[#This Row],[Name]],'Classic day 2 - players'!$A$2:$B$64,2,FALSE),"")</f>
        <v>0.3520833333333333</v>
      </c>
      <c r="K49" s="33">
        <f>IF(Table2[[#This Row],[tee time2]]&lt;&gt;"",COUNTIF('Classic day 2 - players'!$B$2:$B$64,"="&amp;Table2[[#This Row],[tee time2]]),"")</f>
        <v>4</v>
      </c>
      <c r="L49" s="33">
        <f>_xlfn.IFNA(VLOOKUP(Table2[[#This Row],[tee time2]],'Classic day 2 - groups'!$A$3:$F$20,6,FALSE),"")</f>
        <v>40</v>
      </c>
      <c r="M49" s="4">
        <f>_xlfn.IFNA(VLOOKUP(Table2[[#This Row],[tee time2]],'Classic day 2 - groups'!$A$3:$F$20,4,FALSE),"")</f>
        <v>0.18819444444444444</v>
      </c>
      <c r="N49" s="65">
        <f>_xlfn.IFNA(VLOOKUP(Table2[[#This Row],[tee time2]],'Classic day 2 - groups'!$A$3:$F$20,5,FALSE),"")</f>
        <v>8.3333333333333332E-3</v>
      </c>
      <c r="O49" s="69">
        <f>IFERROR((MAX(starting_interval,IF(Table2[[#This Row],[gap2]]="NA",Table2[[#This Row],[avg gap]],Table2[[#This Row],[gap2]]))-starting_interval)*Table2[[#This Row],[followers2]]/Table2[[#This Row],[group size2]],"")</f>
        <v>1.3888888888888892E-2</v>
      </c>
      <c r="P49" s="32" t="str">
        <f>_xlfn.IFNA(VLOOKUP(Table2[[#This Row],[Name]],'Summer FD - players'!$A$2:$B$65,2,FALSE),"")</f>
        <v/>
      </c>
      <c r="Q49" s="59" t="str">
        <f>IF(Table2[[#This Row],[tee time3]]&lt;&gt;"",COUNTIF('Summer FD - players'!$B$2:$B$65,"="&amp;Table2[[#This Row],[tee time3]]),"")</f>
        <v/>
      </c>
      <c r="R49" s="59" t="str">
        <f>_xlfn.IFNA(VLOOKUP(Table2[[#This Row],[tee time3]],'Summer FD - groups'!$A$3:$F$20,6,FALSE),"")</f>
        <v/>
      </c>
      <c r="S49" s="4" t="str">
        <f>_xlfn.IFNA(VLOOKUP(Table2[[#This Row],[tee time3]],'Summer FD - groups'!$A$3:$F$20,4,FALSE),"")</f>
        <v/>
      </c>
      <c r="T49" s="13" t="str">
        <f>_xlfn.IFNA(VLOOKUP(Table2[[#This Row],[tee time3]],'Summer FD - groups'!$A$3:$F$20,5,FALSE),"")</f>
        <v/>
      </c>
      <c r="U49" s="69" t="str">
        <f>IF(Table2[[#This Row],[avg gap]]&lt;&gt;"",IFERROR((MAX(starting_interval,IF(Table2[[#This Row],[gap3]]="NA",Table2[[#This Row],[avg gap]],Table2[[#This Row],[gap3]]))-starting_interval)*Table2[[#This Row],[followers3]]/Table2[[#This Row],[group size3]],""),"")</f>
        <v/>
      </c>
      <c r="V49" s="32">
        <f>_xlfn.IFNA(VLOOKUP(Table2[[#This Row],[Name]],'6-6-6 - players'!$A$2:$B$69,2,FALSE),"")</f>
        <v>0.41666666666666669</v>
      </c>
      <c r="W49" s="59">
        <f>IF(Table2[[#This Row],[tee time4]]&lt;&gt;"",COUNTIF('6-6-6 - players'!$B$2:$B$69,"="&amp;Table2[[#This Row],[tee time4]]),"")</f>
        <v>4</v>
      </c>
      <c r="X49" s="59">
        <f>_xlfn.IFNA(VLOOKUP(Table2[[#This Row],[tee time4]],'6-6-6 - groups'!$A$3:$F$20,6,FALSE),"")</f>
        <v>20</v>
      </c>
      <c r="Y49" s="4">
        <f>_xlfn.IFNA(VLOOKUP(Table2[[#This Row],[tee time4]],'6-6-6 - groups'!$A$3:$F$20,4,FALSE),"")</f>
        <v>0.17638888888888887</v>
      </c>
      <c r="Z49" s="13">
        <f>_xlfn.IFNA(VLOOKUP(Table2[[#This Row],[tee time4]],'6-6-6 - groups'!$A$3:$F$20,5,FALSE),"")</f>
        <v>1.1805555555555625E-2</v>
      </c>
      <c r="AA49" s="69">
        <f>IF(Table2[[#This Row],[avg gap]]&lt;&gt;"",IFERROR((MAX(starting_interval,IF(Table2[[#This Row],[gap4]]="NA",Table2[[#This Row],[avg gap]],Table2[[#This Row],[gap4]]))-starting_interval)*Table2[[#This Row],[followers4]]/Table2[[#This Row],[group size4]],""),"")</f>
        <v>2.4305555555555903E-2</v>
      </c>
      <c r="AB49" s="32" t="str">
        <f>_xlfn.IFNA(VLOOKUP(Table2[[#This Row],[Name]],'Fall FD - players'!$A$2:$B$65,2,FALSE),"")</f>
        <v/>
      </c>
      <c r="AC49" s="59" t="str">
        <f>IF(Table2[[#This Row],[tee time5]]&lt;&gt;"",COUNTIF('Fall FD - players'!$B$2:$B$65,"="&amp;Table2[[#This Row],[tee time5]]),"")</f>
        <v/>
      </c>
      <c r="AD49" s="59" t="str">
        <f>_xlfn.IFNA(VLOOKUP(Table2[[#This Row],[tee time5]],'Fall FD - groups'!$A$3:$F$20,6,FALSE),"")</f>
        <v/>
      </c>
      <c r="AE49" s="4" t="str">
        <f>_xlfn.IFNA(VLOOKUP(Table2[[#This Row],[tee time5]],'Fall FD - groups'!$A$3:$F$20,4,FALSE),"")</f>
        <v/>
      </c>
      <c r="AF49" s="13" t="str">
        <f>IFERROR(MIN(_xlfn.IFNA(VLOOKUP(Table2[[#This Row],[tee time5]],'Fall FD - groups'!$A$3:$F$20,5,FALSE),""),starting_interval + Table2[[#This Row],[round5]] - standard_round_time),"")</f>
        <v/>
      </c>
      <c r="AG49" s="69" t="str">
        <f>IF(AND(Table2[[#This Row],[gap5]]="NA",Table2[[#This Row],[round5]]&lt;4/24),0,IFERROR((MAX(starting_interval,IF(Table2[[#This Row],[gap5]]="NA",Table2[[#This Row],[avg gap]],Table2[[#This Row],[gap5]]))-starting_interval)*Table2[[#This Row],[followers5]]/Table2[[#This Row],[group size5]],""))</f>
        <v/>
      </c>
      <c r="AH49" s="32">
        <f>_xlfn.IFNA(VLOOKUP(Table2[[#This Row],[Name]],'Stableford - players'!$A$2:$B$65,2,FALSE),"")</f>
        <v>0.4375</v>
      </c>
      <c r="AI49" s="59">
        <f>IF(Table2[[#This Row],[tee time6]]&lt;&gt;"",COUNTIF('Stableford - players'!$B$2:$B$65,"="&amp;Table2[[#This Row],[tee time6]]),"")</f>
        <v>4</v>
      </c>
      <c r="AJ49" s="59">
        <f>_xlfn.IFNA(VLOOKUP(Table2[[#This Row],[tee time6]],'Stableford - groups'!$A$3:$F$20,6,FALSE),"")</f>
        <v>0</v>
      </c>
      <c r="AK49" s="11">
        <f>_xlfn.IFNA(VLOOKUP(Table2[[#This Row],[tee time6]],'Stableford - groups'!$A$3:$F$20,4,FALSE),"")</f>
        <v>0.16875000000000007</v>
      </c>
      <c r="AL49" s="13">
        <f>_xlfn.IFNA(VLOOKUP(Table2[[#This Row],[tee time6]],'Stableford - groups'!$A$3:$F$20,5,FALSE),"")</f>
        <v>4.8611111111112049E-3</v>
      </c>
      <c r="AM49" s="68">
        <f>IF(AND(Table2[[#This Row],[gap6]]="NA",Table2[[#This Row],[round6]]&lt;4/24),0,IFERROR((MAX(starting_interval,IF(Table2[[#This Row],[gap6]]="NA",Table2[[#This Row],[avg gap]],Table2[[#This Row],[gap6]]))-starting_interval)*Table2[[#This Row],[followers6]]/Table2[[#This Row],[group size6]],""))</f>
        <v>0</v>
      </c>
      <c r="AN49" s="32" t="str">
        <f>_xlfn.IFNA(VLOOKUP(Table2[[#This Row],[Name]],'Turkey Shoot - players'!$A$2:$B$65,2,FALSE),"")</f>
        <v/>
      </c>
      <c r="AO49" s="59" t="str">
        <f>IF(Table2[[#This Row],[tee time7]]&lt;&gt;"",COUNTIF('Turkey Shoot - players'!$B$2:$B$65,"="&amp;Table2[[#This Row],[tee time7]]),"")</f>
        <v/>
      </c>
      <c r="AP49" s="59" t="str">
        <f>_xlfn.IFNA(VLOOKUP(Table2[[#This Row],[tee time7]],'Stableford - groups'!$A$3:$F$20,6,FALSE),"")</f>
        <v/>
      </c>
      <c r="AQ49" s="11" t="str">
        <f>_xlfn.IFNA(VLOOKUP(Table2[[#This Row],[tee time7]],'Turkey Shoot - groups'!$A$3:$F$20,4,FALSE),"")</f>
        <v/>
      </c>
      <c r="AR49" s="13" t="str">
        <f>_xlfn.IFNA(VLOOKUP(Table2[[#This Row],[tee time7]],'Turkey Shoot - groups'!$A$3:$F$20,5,FALSE),"")</f>
        <v/>
      </c>
      <c r="AS49" s="68" t="str">
        <f>IF(AND(Table2[[#This Row],[gap7]]="NA",Table2[[#This Row],[round7]]&lt;4/24),0,IFERROR((MAX(starting_interval,IF(Table2[[#This Row],[gap7]]="NA",Table2[[#This Row],[avg gap]],Table2[[#This Row],[gap7]]))-starting_interval)*Table2[[#This Row],[followers7]]/Table2[[#This Row],[group size7]],""))</f>
        <v/>
      </c>
      <c r="AT49" s="72">
        <f>COUNT(Table2[[#This Row],[Tee time1]],Table2[[#This Row],[tee time2]],Table2[[#This Row],[tee time3]],Table2[[#This Row],[tee time4]],Table2[[#This Row],[tee time5]],Table2[[#This Row],[tee time6]],Table2[[#This Row],[tee time7]])</f>
        <v>4</v>
      </c>
      <c r="AU49" s="4">
        <f>IFERROR(AVERAGE(Table2[[#This Row],[Tee time1]],Table2[[#This Row],[tee time2]],Table2[[#This Row],[tee time3]],Table2[[#This Row],[tee time4]],Table2[[#This Row],[tee time5]],Table2[[#This Row],[tee time6]],Table2[[#This Row],[tee time7]]),"")</f>
        <v>0.40989583333333335</v>
      </c>
      <c r="AV49" s="11">
        <f>IFERROR(MEDIAN(Table2[[#This Row],[round1]],Table2[[#This Row],[Round2]],Table2[[#This Row],[round3]],Table2[[#This Row],[round4]],Table2[[#This Row],[round5]],Table2[[#This Row],[round6]],Table2[[#This Row],[round7]]),"")</f>
        <v>0.18229166666666666</v>
      </c>
      <c r="AW49" s="11">
        <f>IFERROR(AVERAGE(Table2[[#This Row],[gap1]],Table2[[#This Row],[gap2]],Table2[[#This Row],[gap3]],Table2[[#This Row],[gap4]],Table2[[#This Row],[gap5]],Table2[[#This Row],[gap6]],Table2[[#This Row],[gap7]]),"")</f>
        <v>8.1597222222222557E-3</v>
      </c>
      <c r="AX49" s="9">
        <f>IFERROR((Table2[[#This Row],[avg gap]]-starting_interval)*24*60*Table2[[#This Row],[Count]],"NA")</f>
        <v>7.0000000000001954</v>
      </c>
      <c r="AY4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3.8888888888889209E-2</v>
      </c>
      <c r="AZ49" s="2"/>
    </row>
    <row r="50" spans="1:52" x14ac:dyDescent="0.3">
      <c r="A50" s="10" t="s">
        <v>13</v>
      </c>
      <c r="B50" s="1" t="s">
        <v>251</v>
      </c>
      <c r="C50" s="19">
        <v>21.1</v>
      </c>
      <c r="D50" s="32">
        <f>_xlfn.IFNA(VLOOKUP(Table2[[#This Row],[Name]],'Classic day 1 - players'!$A$2:$B$64,2,FALSE),"")</f>
        <v>0.3520833333333333</v>
      </c>
      <c r="E50" s="33">
        <f>IF(Table2[[#This Row],[Tee time1]]&lt;&gt;"",COUNTIF('Classic day 1 - players'!$B$2:$B$64,"="&amp;Table2[[#This Row],[Tee time1]]),"")</f>
        <v>4</v>
      </c>
      <c r="F50" s="33">
        <f>_xlfn.IFNA(VLOOKUP(Table2[[#This Row],[Tee time1]],'Classic day 1 - groups'!$A$3:$F$20,6,FALSE),"")</f>
        <v>56</v>
      </c>
      <c r="G50" s="11">
        <f>_xlfn.IFNA(VLOOKUP(Table2[[#This Row],[Tee time1]],'Classic day 1 - groups'!$A$3:$F$20,4,FALSE),"")</f>
        <v>0.20347222222222222</v>
      </c>
      <c r="H50" s="12">
        <f>_xlfn.IFNA(VLOOKUP(Table2[[#This Row],[Tee time1]],'Classic day 1 - groups'!$A$3:$F$20,5,FALSE),"")</f>
        <v>9.7222222222221877E-3</v>
      </c>
      <c r="I50" s="69">
        <f>IFERROR((MAX(starting_interval,IF(Table2[[#This Row],[gap1]]="NA",Table2[[#This Row],[avg gap]],Table2[[#This Row],[gap1]]))-starting_interval)*Table2[[#This Row],[followers1]]/Table2[[#This Row],[group size]],"")</f>
        <v>3.8888888888888411E-2</v>
      </c>
      <c r="J50" s="32">
        <f>_xlfn.IFNA(VLOOKUP(Table2[[#This Row],[Name]],'Classic day 2 - players'!$A$2:$B$64,2,FALSE),"")</f>
        <v>0.33958333333333335</v>
      </c>
      <c r="K50" s="33">
        <f>IF(Table2[[#This Row],[tee time2]]&lt;&gt;"",COUNTIF('Classic day 2 - players'!$B$2:$B$64,"="&amp;Table2[[#This Row],[tee time2]]),"")</f>
        <v>4</v>
      </c>
      <c r="L50" s="33">
        <f>_xlfn.IFNA(VLOOKUP(Table2[[#This Row],[tee time2]],'Classic day 2 - groups'!$A$3:$F$20,6,FALSE),"")</f>
        <v>48</v>
      </c>
      <c r="M50" s="4">
        <f>_xlfn.IFNA(VLOOKUP(Table2[[#This Row],[tee time2]],'Classic day 2 - groups'!$A$3:$F$20,4,FALSE),"")</f>
        <v>0.16874999999999998</v>
      </c>
      <c r="N50" s="65">
        <f>_xlfn.IFNA(VLOOKUP(Table2[[#This Row],[tee time2]],'Classic day 2 - groups'!$A$3:$F$20,5,FALSE),"")</f>
        <v>6.9444444444444441E-3</v>
      </c>
      <c r="O50" s="69">
        <f>IFERROR((MAX(starting_interval,IF(Table2[[#This Row],[gap2]]="NA",Table2[[#This Row],[avg gap]],Table2[[#This Row],[gap2]]))-starting_interval)*Table2[[#This Row],[followers2]]/Table2[[#This Row],[group size2]],"")</f>
        <v>0</v>
      </c>
      <c r="P50" s="32" t="str">
        <f>_xlfn.IFNA(VLOOKUP(Table2[[#This Row],[Name]],'Summer FD - players'!$A$2:$B$65,2,FALSE),"")</f>
        <v/>
      </c>
      <c r="Q50" s="59" t="str">
        <f>IF(Table2[[#This Row],[tee time3]]&lt;&gt;"",COUNTIF('Summer FD - players'!$B$2:$B$65,"="&amp;Table2[[#This Row],[tee time3]]),"")</f>
        <v/>
      </c>
      <c r="R50" s="59" t="str">
        <f>_xlfn.IFNA(VLOOKUP(Table2[[#This Row],[tee time3]],'Summer FD - groups'!$A$3:$F$20,6,FALSE),"")</f>
        <v/>
      </c>
      <c r="S50" s="4" t="str">
        <f>_xlfn.IFNA(VLOOKUP(Table2[[#This Row],[tee time3]],'Summer FD - groups'!$A$3:$F$20,4,FALSE),"")</f>
        <v/>
      </c>
      <c r="T50" s="13" t="str">
        <f>_xlfn.IFNA(VLOOKUP(Table2[[#This Row],[tee time3]],'Summer FD - groups'!$A$3:$F$20,5,FALSE),"")</f>
        <v/>
      </c>
      <c r="U50" s="69" t="str">
        <f>IF(Table2[[#This Row],[avg gap]]&lt;&gt;"",IFERROR((MAX(starting_interval,IF(Table2[[#This Row],[gap3]]="NA",Table2[[#This Row],[avg gap]],Table2[[#This Row],[gap3]]))-starting_interval)*Table2[[#This Row],[followers3]]/Table2[[#This Row],[group size3]],""),"")</f>
        <v/>
      </c>
      <c r="V50" s="32" t="str">
        <f>_xlfn.IFNA(VLOOKUP(Table2[[#This Row],[Name]],'6-6-6 - players'!$A$2:$B$69,2,FALSE),"")</f>
        <v/>
      </c>
      <c r="W50" s="59" t="str">
        <f>IF(Table2[[#This Row],[tee time4]]&lt;&gt;"",COUNTIF('6-6-6 - players'!$B$2:$B$69,"="&amp;Table2[[#This Row],[tee time4]]),"")</f>
        <v/>
      </c>
      <c r="X50" s="59" t="str">
        <f>_xlfn.IFNA(VLOOKUP(Table2[[#This Row],[tee time4]],'6-6-6 - groups'!$A$3:$F$20,6,FALSE),"")</f>
        <v/>
      </c>
      <c r="Y50" s="4" t="str">
        <f>_xlfn.IFNA(VLOOKUP(Table2[[#This Row],[tee time4]],'6-6-6 - groups'!$A$3:$F$20,4,FALSE),"")</f>
        <v/>
      </c>
      <c r="Z50" s="13" t="str">
        <f>_xlfn.IFNA(VLOOKUP(Table2[[#This Row],[tee time4]],'6-6-6 - groups'!$A$3:$F$20,5,FALSE),"")</f>
        <v/>
      </c>
      <c r="AA50" s="69" t="str">
        <f>IF(Table2[[#This Row],[avg gap]]&lt;&gt;"",IFERROR((MAX(starting_interval,IF(Table2[[#This Row],[gap4]]="NA",Table2[[#This Row],[avg gap]],Table2[[#This Row],[gap4]]))-starting_interval)*Table2[[#This Row],[followers4]]/Table2[[#This Row],[group size4]],""),"")</f>
        <v/>
      </c>
      <c r="AB50" s="32" t="str">
        <f>_xlfn.IFNA(VLOOKUP(Table2[[#This Row],[Name]],'Fall FD - players'!$A$2:$B$65,2,FALSE),"")</f>
        <v/>
      </c>
      <c r="AC50" s="59" t="str">
        <f>IF(Table2[[#This Row],[tee time5]]&lt;&gt;"",COUNTIF('Fall FD - players'!$B$2:$B$65,"="&amp;Table2[[#This Row],[tee time5]]),"")</f>
        <v/>
      </c>
      <c r="AD50" s="59" t="str">
        <f>_xlfn.IFNA(VLOOKUP(Table2[[#This Row],[tee time5]],'Fall FD - groups'!$A$3:$F$20,6,FALSE),"")</f>
        <v/>
      </c>
      <c r="AE50" s="4" t="str">
        <f>_xlfn.IFNA(VLOOKUP(Table2[[#This Row],[tee time5]],'Fall FD - groups'!$A$3:$F$20,4,FALSE),"")</f>
        <v/>
      </c>
      <c r="AF50" s="13" t="str">
        <f>IFERROR(MIN(_xlfn.IFNA(VLOOKUP(Table2[[#This Row],[tee time5]],'Fall FD - groups'!$A$3:$F$20,5,FALSE),""),starting_interval + Table2[[#This Row],[round5]] - standard_round_time),"")</f>
        <v/>
      </c>
      <c r="AG50" s="69" t="str">
        <f>IF(AND(Table2[[#This Row],[gap5]]="NA",Table2[[#This Row],[round5]]&lt;4/24),0,IFERROR((MAX(starting_interval,IF(Table2[[#This Row],[gap5]]="NA",Table2[[#This Row],[avg gap]],Table2[[#This Row],[gap5]]))-starting_interval)*Table2[[#This Row],[followers5]]/Table2[[#This Row],[group size5]],""))</f>
        <v/>
      </c>
      <c r="AH50" s="32" t="str">
        <f>_xlfn.IFNA(VLOOKUP(Table2[[#This Row],[Name]],'Stableford - players'!$A$2:$B$65,2,FALSE),"")</f>
        <v/>
      </c>
      <c r="AI50" s="59" t="str">
        <f>IF(Table2[[#This Row],[tee time6]]&lt;&gt;"",COUNTIF('Stableford - players'!$B$2:$B$65,"="&amp;Table2[[#This Row],[tee time6]]),"")</f>
        <v/>
      </c>
      <c r="AJ50" s="59" t="str">
        <f>_xlfn.IFNA(VLOOKUP(Table2[[#This Row],[tee time6]],'Stableford - groups'!$A$3:$F$20,6,FALSE),"")</f>
        <v/>
      </c>
      <c r="AK50" s="11" t="str">
        <f>_xlfn.IFNA(VLOOKUP(Table2[[#This Row],[tee time6]],'Stableford - groups'!$A$3:$F$20,4,FALSE),"")</f>
        <v/>
      </c>
      <c r="AL50" s="13" t="str">
        <f>_xlfn.IFNA(VLOOKUP(Table2[[#This Row],[tee time6]],'Stableford - groups'!$A$3:$F$20,5,FALSE),"")</f>
        <v/>
      </c>
      <c r="AM50" s="68" t="str">
        <f>IF(AND(Table2[[#This Row],[gap6]]="NA",Table2[[#This Row],[round6]]&lt;4/24),0,IFERROR((MAX(starting_interval,IF(Table2[[#This Row],[gap6]]="NA",Table2[[#This Row],[avg gap]],Table2[[#This Row],[gap6]]))-starting_interval)*Table2[[#This Row],[followers6]]/Table2[[#This Row],[group size6]],""))</f>
        <v/>
      </c>
      <c r="AN50" s="32">
        <f>_xlfn.IFNA(VLOOKUP(Table2[[#This Row],[Name]],'Turkey Shoot - players'!$A$2:$B$65,2,FALSE),"")</f>
        <v>0.3888888888888889</v>
      </c>
      <c r="AO50" s="59">
        <f>IF(Table2[[#This Row],[tee time7]]&lt;&gt;"",COUNTIF('Turkey Shoot - players'!$B$2:$B$65,"="&amp;Table2[[#This Row],[tee time7]]),"")</f>
        <v>4</v>
      </c>
      <c r="AP50" s="59">
        <f>_xlfn.IFNA(VLOOKUP(Table2[[#This Row],[tee time7]],'Stableford - groups'!$A$3:$F$20,6,FALSE),"")</f>
        <v>28</v>
      </c>
      <c r="AQ50" s="11">
        <f>_xlfn.IFNA(VLOOKUP(Table2[[#This Row],[tee time7]],'Turkey Shoot - groups'!$A$3:$F$20,4,FALSE),"")</f>
        <v>0.1701388888888889</v>
      </c>
      <c r="AR50" s="13">
        <f>_xlfn.IFNA(VLOOKUP(Table2[[#This Row],[tee time7]],'Turkey Shoot - groups'!$A$3:$F$20,5,FALSE),"")</f>
        <v>4.1666666666666666E-3</v>
      </c>
      <c r="AS50" s="68">
        <f>IF(AND(Table2[[#This Row],[gap7]]="NA",Table2[[#This Row],[round7]]&lt;4/24),0,IFERROR((MAX(starting_interval,IF(Table2[[#This Row],[gap7]]="NA",Table2[[#This Row],[avg gap]],Table2[[#This Row],[gap7]]))-starting_interval)*Table2[[#This Row],[followers7]]/Table2[[#This Row],[group size7]],""))</f>
        <v>0</v>
      </c>
      <c r="AT50" s="72">
        <f>COUNT(Table2[[#This Row],[Tee time1]],Table2[[#This Row],[tee time2]],Table2[[#This Row],[tee time3]],Table2[[#This Row],[tee time4]],Table2[[#This Row],[tee time5]],Table2[[#This Row],[tee time6]],Table2[[#This Row],[tee time7]])</f>
        <v>3</v>
      </c>
      <c r="AU50" s="4">
        <f>IFERROR(AVERAGE(Table2[[#This Row],[Tee time1]],Table2[[#This Row],[tee time2]],Table2[[#This Row],[tee time3]],Table2[[#This Row],[tee time4]],Table2[[#This Row],[tee time5]],Table2[[#This Row],[tee time6]],Table2[[#This Row],[tee time7]]),"")</f>
        <v>0.36018518518518516</v>
      </c>
      <c r="AV50" s="11">
        <f>IFERROR(MEDIAN(Table2[[#This Row],[round1]],Table2[[#This Row],[Round2]],Table2[[#This Row],[round3]],Table2[[#This Row],[round4]],Table2[[#This Row],[round5]],Table2[[#This Row],[round6]],Table2[[#This Row],[round7]]),"")</f>
        <v>0.1701388888888889</v>
      </c>
      <c r="AW50" s="11">
        <f>IFERROR(AVERAGE(Table2[[#This Row],[gap1]],Table2[[#This Row],[gap2]],Table2[[#This Row],[gap3]],Table2[[#This Row],[gap4]],Table2[[#This Row],[gap5]],Table2[[#This Row],[gap6]],Table2[[#This Row],[gap7]]),"")</f>
        <v>6.9444444444444328E-3</v>
      </c>
      <c r="AX50" s="9">
        <f>IFERROR((Table2[[#This Row],[avg gap]]-starting_interval)*24*60*Table2[[#This Row],[Count]],"NA")</f>
        <v>-4.8711035205428743E-14</v>
      </c>
      <c r="AY5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3.8888888888888411E-2</v>
      </c>
      <c r="AZ50" s="2"/>
    </row>
    <row r="51" spans="1:52" x14ac:dyDescent="0.3">
      <c r="A51" s="10" t="s">
        <v>60</v>
      </c>
      <c r="B51" s="1" t="s">
        <v>298</v>
      </c>
      <c r="C51" s="19">
        <v>15.9</v>
      </c>
      <c r="D51" s="32" t="str">
        <f>_xlfn.IFNA(VLOOKUP(Table2[[#This Row],[Name]],'Classic day 1 - players'!$A$2:$B$64,2,FALSE),"")</f>
        <v/>
      </c>
      <c r="E51" s="33" t="str">
        <f>IF(Table2[[#This Row],[Tee time1]]&lt;&gt;"",COUNTIF('Classic day 1 - players'!$B$2:$B$64,"="&amp;Table2[[#This Row],[Tee time1]]),"")</f>
        <v/>
      </c>
      <c r="F51" s="4" t="str">
        <f>_xlfn.IFNA(VLOOKUP(Table2[[#This Row],[Tee time1]],'Classic day 1 - groups'!$A$3:$F$20,6,FALSE),"")</f>
        <v/>
      </c>
      <c r="G51" s="11" t="str">
        <f>_xlfn.IFNA(VLOOKUP(Table2[[#This Row],[Tee time1]],'Classic day 1 - groups'!$A$3:$F$20,4,FALSE),"")</f>
        <v/>
      </c>
      <c r="H51" s="12" t="str">
        <f>_xlfn.IFNA(VLOOKUP(Table2[[#This Row],[Tee time1]],'Classic day 1 - groups'!$A$3:$F$20,5,FALSE),"")</f>
        <v/>
      </c>
      <c r="I51" s="69" t="str">
        <f>IFERROR((MAX(starting_interval,IF(Table2[[#This Row],[gap1]]="NA",Table2[[#This Row],[avg gap]],Table2[[#This Row],[gap1]]))-starting_interval)*Table2[[#This Row],[followers1]]/Table2[[#This Row],[group size]],"")</f>
        <v/>
      </c>
      <c r="J51" s="32" t="str">
        <f>_xlfn.IFNA(VLOOKUP(Table2[[#This Row],[Name]],'Classic day 2 - players'!$A$2:$B$64,2,FALSE),"")</f>
        <v/>
      </c>
      <c r="K51" s="4" t="str">
        <f>IF(Table2[[#This Row],[tee time2]]&lt;&gt;"",COUNTIF('Classic day 2 - players'!$B$2:$B$64,"="&amp;Table2[[#This Row],[tee time2]]),"")</f>
        <v/>
      </c>
      <c r="L51" s="4" t="str">
        <f>_xlfn.IFNA(VLOOKUP(Table2[[#This Row],[tee time2]],'Classic day 2 - groups'!$A$3:$F$20,6,FALSE),"")</f>
        <v/>
      </c>
      <c r="M51" s="4" t="str">
        <f>_xlfn.IFNA(VLOOKUP(Table2[[#This Row],[tee time2]],'Classic day 2 - groups'!$A$3:$F$20,4,FALSE),"")</f>
        <v/>
      </c>
      <c r="N51" s="65" t="str">
        <f>_xlfn.IFNA(VLOOKUP(Table2[[#This Row],[tee time2]],'Classic day 2 - groups'!$A$3:$F$20,5,FALSE),"")</f>
        <v/>
      </c>
      <c r="O51" s="69" t="str">
        <f>IFERROR((MAX(starting_interval,IF(Table2[[#This Row],[gap2]]="NA",Table2[[#This Row],[avg gap]],Table2[[#This Row],[gap2]]))-starting_interval)*Table2[[#This Row],[followers2]]/Table2[[#This Row],[group size2]],"")</f>
        <v/>
      </c>
      <c r="P51" s="32" t="str">
        <f>_xlfn.IFNA(VLOOKUP(Table2[[#This Row],[Name]],'Summer FD - players'!$A$2:$B$65,2,FALSE),"")</f>
        <v/>
      </c>
      <c r="Q51" s="59" t="str">
        <f>IF(Table2[[#This Row],[tee time3]]&lt;&gt;"",COUNTIF('Summer FD - players'!$B$2:$B$65,"="&amp;Table2[[#This Row],[tee time3]]),"")</f>
        <v/>
      </c>
      <c r="R51" s="59" t="str">
        <f>_xlfn.IFNA(VLOOKUP(Table2[[#This Row],[tee time3]],'Summer FD - groups'!$A$3:$F$20,6,FALSE),"")</f>
        <v/>
      </c>
      <c r="S51" s="4" t="str">
        <f>_xlfn.IFNA(VLOOKUP(Table2[[#This Row],[tee time3]],'Summer FD - groups'!$A$3:$F$20,4,FALSE),"")</f>
        <v/>
      </c>
      <c r="T51" s="13" t="str">
        <f>_xlfn.IFNA(VLOOKUP(Table2[[#This Row],[tee time3]],'Summer FD - groups'!$A$3:$F$20,5,FALSE),"")</f>
        <v/>
      </c>
      <c r="U51" s="69" t="str">
        <f>IF(Table2[[#This Row],[avg gap]]&lt;&gt;"",IFERROR((MAX(starting_interval,IF(Table2[[#This Row],[gap3]]="NA",Table2[[#This Row],[avg gap]],Table2[[#This Row],[gap3]]))-starting_interval)*Table2[[#This Row],[followers3]]/Table2[[#This Row],[group size3]],""),"")</f>
        <v/>
      </c>
      <c r="V51" s="32" t="str">
        <f>_xlfn.IFNA(VLOOKUP(Table2[[#This Row],[Name]],'6-6-6 - players'!$A$2:$B$69,2,FALSE),"")</f>
        <v/>
      </c>
      <c r="W51" s="59" t="str">
        <f>IF(Table2[[#This Row],[tee time4]]&lt;&gt;"",COUNTIF('6-6-6 - players'!$B$2:$B$69,"="&amp;Table2[[#This Row],[tee time4]]),"")</f>
        <v/>
      </c>
      <c r="X51" s="59" t="str">
        <f>_xlfn.IFNA(VLOOKUP(Table2[[#This Row],[tee time4]],'6-6-6 - groups'!$A$3:$F$20,6,FALSE),"")</f>
        <v/>
      </c>
      <c r="Y51" s="4" t="str">
        <f>_xlfn.IFNA(VLOOKUP(Table2[[#This Row],[tee time4]],'6-6-6 - groups'!$A$3:$F$20,4,FALSE),"")</f>
        <v/>
      </c>
      <c r="Z51" s="13" t="str">
        <f>_xlfn.IFNA(VLOOKUP(Table2[[#This Row],[tee time4]],'6-6-6 - groups'!$A$3:$F$20,5,FALSE),"")</f>
        <v/>
      </c>
      <c r="AA51" s="69" t="str">
        <f>IF(Table2[[#This Row],[avg gap]]&lt;&gt;"",IFERROR((MAX(starting_interval,IF(Table2[[#This Row],[gap4]]="NA",Table2[[#This Row],[avg gap]],Table2[[#This Row],[gap4]]))-starting_interval)*Table2[[#This Row],[followers4]]/Table2[[#This Row],[group size4]],""),"")</f>
        <v/>
      </c>
      <c r="AB51" s="32" t="str">
        <f>_xlfn.IFNA(VLOOKUP(Table2[[#This Row],[Name]],'Fall FD - players'!$A$2:$B$65,2,FALSE),"")</f>
        <v/>
      </c>
      <c r="AC51" s="59" t="str">
        <f>IF(Table2[[#This Row],[tee time5]]&lt;&gt;"",COUNTIF('Fall FD - players'!$B$2:$B$65,"="&amp;Table2[[#This Row],[tee time5]]),"")</f>
        <v/>
      </c>
      <c r="AD51" s="59" t="str">
        <f>_xlfn.IFNA(VLOOKUP(Table2[[#This Row],[tee time5]],'Fall FD - groups'!$A$3:$F$20,6,FALSE),"")</f>
        <v/>
      </c>
      <c r="AE51" s="4" t="str">
        <f>_xlfn.IFNA(VLOOKUP(Table2[[#This Row],[tee time5]],'Fall FD - groups'!$A$3:$F$20,4,FALSE),"")</f>
        <v/>
      </c>
      <c r="AF51" s="13" t="str">
        <f>IFERROR(MIN(_xlfn.IFNA(VLOOKUP(Table2[[#This Row],[tee time5]],'Fall FD - groups'!$A$3:$F$20,5,FALSE),""),starting_interval + Table2[[#This Row],[round5]] - standard_round_time),"")</f>
        <v/>
      </c>
      <c r="AG51" s="69" t="str">
        <f>IF(AND(Table2[[#This Row],[gap5]]="NA",Table2[[#This Row],[round5]]&lt;4/24),0,IFERROR((MAX(starting_interval,IF(Table2[[#This Row],[gap5]]="NA",Table2[[#This Row],[avg gap]],Table2[[#This Row],[gap5]]))-starting_interval)*Table2[[#This Row],[followers5]]/Table2[[#This Row],[group size5]],""))</f>
        <v/>
      </c>
      <c r="AH51" s="32">
        <f>_xlfn.IFNA(VLOOKUP(Table2[[#This Row],[Name]],'Stableford - players'!$A$2:$B$65,2,FALSE),"")</f>
        <v>0.375</v>
      </c>
      <c r="AI51" s="59">
        <f>IF(Table2[[#This Row],[tee time6]]&lt;&gt;"",COUNTIF('Stableford - players'!$B$2:$B$65,"="&amp;Table2[[#This Row],[tee time6]]),"")</f>
        <v>4</v>
      </c>
      <c r="AJ51" s="59">
        <f>_xlfn.IFNA(VLOOKUP(Table2[[#This Row],[tee time6]],'Stableford - groups'!$A$3:$F$20,6,FALSE),"")</f>
        <v>36</v>
      </c>
      <c r="AK51" s="11">
        <f>_xlfn.IFNA(VLOOKUP(Table2[[#This Row],[tee time6]],'Stableford - groups'!$A$3:$F$20,4,FALSE),"")</f>
        <v>0.1694444444444444</v>
      </c>
      <c r="AL51" s="13">
        <f>_xlfn.IFNA(VLOOKUP(Table2[[#This Row],[tee time6]],'Stableford - groups'!$A$3:$F$20,5,FALSE),"")</f>
        <v>9.0277777777777457E-3</v>
      </c>
      <c r="AM51" s="68">
        <f>IF(AND(Table2[[#This Row],[gap6]]="NA",Table2[[#This Row],[round6]]&lt;4/24),0,IFERROR((MAX(starting_interval,IF(Table2[[#This Row],[gap6]]="NA",Table2[[#This Row],[avg gap]],Table2[[#This Row],[gap6]]))-starting_interval)*Table2[[#This Row],[followers6]]/Table2[[#This Row],[group size6]],""))</f>
        <v>1.8749999999999715E-2</v>
      </c>
      <c r="AN51" s="32">
        <f>_xlfn.IFNA(VLOOKUP(Table2[[#This Row],[Name]],'Turkey Shoot - players'!$A$2:$B$65,2,FALSE),"")</f>
        <v>0.41666666666666669</v>
      </c>
      <c r="AO51" s="59">
        <f>IF(Table2[[#This Row],[tee time7]]&lt;&gt;"",COUNTIF('Turkey Shoot - players'!$B$2:$B$65,"="&amp;Table2[[#This Row],[tee time7]]),"")</f>
        <v>4</v>
      </c>
      <c r="AP51" s="59">
        <f>_xlfn.IFNA(VLOOKUP(Table2[[#This Row],[tee time7]],'Stableford - groups'!$A$3:$F$20,6,FALSE),"")</f>
        <v>12</v>
      </c>
      <c r="AQ51" s="11">
        <f>_xlfn.IFNA(VLOOKUP(Table2[[#This Row],[tee time7]],'Turkey Shoot - groups'!$A$3:$F$20,4,FALSE),"")</f>
        <v>0.18055555555555558</v>
      </c>
      <c r="AR51" s="13">
        <f>_xlfn.IFNA(VLOOKUP(Table2[[#This Row],[tee time7]],'Turkey Shoot - groups'!$A$3:$F$20,5,FALSE),"")</f>
        <v>1.2499999999999999E-2</v>
      </c>
      <c r="AS51" s="68">
        <f>IF(AND(Table2[[#This Row],[gap7]]="NA",Table2[[#This Row],[round7]]&lt;4/24),0,IFERROR((MAX(starting_interval,IF(Table2[[#This Row],[gap7]]="NA",Table2[[#This Row],[avg gap]],Table2[[#This Row],[gap7]]))-starting_interval)*Table2[[#This Row],[followers7]]/Table2[[#This Row],[group size7]],""))</f>
        <v>1.6666666666666663E-2</v>
      </c>
      <c r="AT51" s="72">
        <f>COUNT(Table2[[#This Row],[Tee time1]],Table2[[#This Row],[tee time2]],Table2[[#This Row],[tee time3]],Table2[[#This Row],[tee time4]],Table2[[#This Row],[tee time5]],Table2[[#This Row],[tee time6]],Table2[[#This Row],[tee time7]])</f>
        <v>2</v>
      </c>
      <c r="AU51" s="4">
        <f>IFERROR(AVERAGE(Table2[[#This Row],[Tee time1]],Table2[[#This Row],[tee time2]],Table2[[#This Row],[tee time3]],Table2[[#This Row],[tee time4]],Table2[[#This Row],[tee time5]],Table2[[#This Row],[tee time6]],Table2[[#This Row],[tee time7]]),"")</f>
        <v>0.39583333333333337</v>
      </c>
      <c r="AV51" s="11">
        <f>IFERROR(MEDIAN(Table2[[#This Row],[round1]],Table2[[#This Row],[Round2]],Table2[[#This Row],[round3]],Table2[[#This Row],[round4]],Table2[[#This Row],[round5]],Table2[[#This Row],[round6]],Table2[[#This Row],[round7]]),"")</f>
        <v>0.17499999999999999</v>
      </c>
      <c r="AW51" s="11">
        <f>IFERROR(AVERAGE(Table2[[#This Row],[gap1]],Table2[[#This Row],[gap2]],Table2[[#This Row],[gap3]],Table2[[#This Row],[gap4]],Table2[[#This Row],[gap5]],Table2[[#This Row],[gap6]],Table2[[#This Row],[gap7]]),"")</f>
        <v>1.0763888888888871E-2</v>
      </c>
      <c r="AX51" s="9">
        <f>IFERROR((Table2[[#This Row],[avg gap]]-starting_interval)*24*60*Table2[[#This Row],[Count]],"NA")</f>
        <v>10.99999999999995</v>
      </c>
      <c r="AY5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3.5416666666666374E-2</v>
      </c>
      <c r="AZ51" s="2"/>
    </row>
    <row r="52" spans="1:52" x14ac:dyDescent="0.3">
      <c r="A52" s="10" t="s">
        <v>149</v>
      </c>
      <c r="B52" s="1" t="s">
        <v>390</v>
      </c>
      <c r="C52" s="19">
        <v>27.5</v>
      </c>
      <c r="D52" s="32" t="str">
        <f>_xlfn.IFNA(VLOOKUP(Table2[[#This Row],[Name]],'Classic day 1 - players'!$A$2:$B$64,2,FALSE),"")</f>
        <v/>
      </c>
      <c r="E52" s="33" t="str">
        <f>IF(Table2[[#This Row],[Tee time1]]&lt;&gt;"",COUNTIF('Classic day 1 - players'!$B$2:$B$64,"="&amp;Table2[[#This Row],[Tee time1]]),"")</f>
        <v/>
      </c>
      <c r="F52" s="4" t="str">
        <f>_xlfn.IFNA(VLOOKUP(Table2[[#This Row],[Tee time1]],'Classic day 1 - groups'!$A$3:$F$20,6,FALSE),"")</f>
        <v/>
      </c>
      <c r="G52" s="11" t="str">
        <f>_xlfn.IFNA(VLOOKUP(Table2[[#This Row],[Tee time1]],'Classic day 1 - groups'!$A$3:$F$20,4,FALSE),"")</f>
        <v/>
      </c>
      <c r="H52" s="12" t="str">
        <f>_xlfn.IFNA(VLOOKUP(Table2[[#This Row],[Tee time1]],'Classic day 1 - groups'!$A$3:$F$20,5,FALSE),"")</f>
        <v/>
      </c>
      <c r="I52" s="69" t="str">
        <f>IFERROR((MAX(starting_interval,IF(Table2[[#This Row],[gap1]]="NA",Table2[[#This Row],[avg gap]],Table2[[#This Row],[gap1]]))-starting_interval)*Table2[[#This Row],[followers1]]/Table2[[#This Row],[group size]],"")</f>
        <v/>
      </c>
      <c r="J52" s="32" t="str">
        <f>_xlfn.IFNA(VLOOKUP(Table2[[#This Row],[Name]],'Classic day 2 - players'!$A$2:$B$64,2,FALSE),"")</f>
        <v/>
      </c>
      <c r="K52" s="4" t="str">
        <f>IF(Table2[[#This Row],[tee time2]]&lt;&gt;"",COUNTIF('Classic day 2 - players'!$B$2:$B$64,"="&amp;Table2[[#This Row],[tee time2]]),"")</f>
        <v/>
      </c>
      <c r="L52" s="4" t="str">
        <f>_xlfn.IFNA(VLOOKUP(Table2[[#This Row],[tee time2]],'Classic day 2 - groups'!$A$3:$F$20,6,FALSE),"")</f>
        <v/>
      </c>
      <c r="M52" s="4" t="str">
        <f>_xlfn.IFNA(VLOOKUP(Table2[[#This Row],[tee time2]],'Classic day 2 - groups'!$A$3:$F$20,4,FALSE),"")</f>
        <v/>
      </c>
      <c r="N52" s="65" t="str">
        <f>_xlfn.IFNA(VLOOKUP(Table2[[#This Row],[tee time2]],'Classic day 2 - groups'!$A$3:$F$20,5,FALSE),"")</f>
        <v/>
      </c>
      <c r="O52" s="69" t="str">
        <f>IFERROR((MAX(starting_interval,IF(Table2[[#This Row],[gap2]]="NA",Table2[[#This Row],[avg gap]],Table2[[#This Row],[gap2]]))-starting_interval)*Table2[[#This Row],[followers2]]/Table2[[#This Row],[group size2]],"")</f>
        <v/>
      </c>
      <c r="P52" s="32" t="str">
        <f>_xlfn.IFNA(VLOOKUP(Table2[[#This Row],[Name]],'Summer FD - players'!$A$2:$B$65,2,FALSE),"")</f>
        <v/>
      </c>
      <c r="Q52" s="59" t="str">
        <f>IF(Table2[[#This Row],[tee time3]]&lt;&gt;"",COUNTIF('Summer FD - players'!$B$2:$B$65,"="&amp;Table2[[#This Row],[tee time3]]),"")</f>
        <v/>
      </c>
      <c r="R52" s="59" t="str">
        <f>_xlfn.IFNA(VLOOKUP(Table2[[#This Row],[tee time3]],'Summer FD - groups'!$A$3:$F$20,6,FALSE),"")</f>
        <v/>
      </c>
      <c r="S52" s="4" t="str">
        <f>_xlfn.IFNA(VLOOKUP(Table2[[#This Row],[tee time3]],'Summer FD - groups'!$A$3:$F$20,4,FALSE),"")</f>
        <v/>
      </c>
      <c r="T52" s="13" t="str">
        <f>_xlfn.IFNA(VLOOKUP(Table2[[#This Row],[tee time3]],'Summer FD - groups'!$A$3:$F$20,5,FALSE),"")</f>
        <v/>
      </c>
      <c r="U52" s="69" t="str">
        <f>IF(Table2[[#This Row],[avg gap]]&lt;&gt;"",IFERROR((MAX(starting_interval,IF(Table2[[#This Row],[gap3]]="NA",Table2[[#This Row],[avg gap]],Table2[[#This Row],[gap3]]))-starting_interval)*Table2[[#This Row],[followers3]]/Table2[[#This Row],[group size3]],""),"")</f>
        <v/>
      </c>
      <c r="V52" s="32" t="str">
        <f>_xlfn.IFNA(VLOOKUP(Table2[[#This Row],[Name]],'6-6-6 - players'!$A$2:$B$69,2,FALSE),"")</f>
        <v/>
      </c>
      <c r="W52" s="59" t="str">
        <f>IF(Table2[[#This Row],[tee time4]]&lt;&gt;"",COUNTIF('6-6-6 - players'!$B$2:$B$69,"="&amp;Table2[[#This Row],[tee time4]]),"")</f>
        <v/>
      </c>
      <c r="X52" s="59" t="str">
        <f>_xlfn.IFNA(VLOOKUP(Table2[[#This Row],[tee time4]],'6-6-6 - groups'!$A$3:$F$20,6,FALSE),"")</f>
        <v/>
      </c>
      <c r="Y52" s="4" t="str">
        <f>_xlfn.IFNA(VLOOKUP(Table2[[#This Row],[tee time4]],'6-6-6 - groups'!$A$3:$F$20,4,FALSE),"")</f>
        <v/>
      </c>
      <c r="Z52" s="13" t="str">
        <f>_xlfn.IFNA(VLOOKUP(Table2[[#This Row],[tee time4]],'6-6-6 - groups'!$A$3:$F$20,5,FALSE),"")</f>
        <v/>
      </c>
      <c r="AA52" s="69" t="str">
        <f>IF(Table2[[#This Row],[avg gap]]&lt;&gt;"",IFERROR((MAX(starting_interval,IF(Table2[[#This Row],[gap4]]="NA",Table2[[#This Row],[avg gap]],Table2[[#This Row],[gap4]]))-starting_interval)*Table2[[#This Row],[followers4]]/Table2[[#This Row],[group size4]],""),"")</f>
        <v/>
      </c>
      <c r="AB52" s="32" t="str">
        <f>_xlfn.IFNA(VLOOKUP(Table2[[#This Row],[Name]],'Fall FD - players'!$A$2:$B$65,2,FALSE),"")</f>
        <v/>
      </c>
      <c r="AC52" s="59" t="str">
        <f>IF(Table2[[#This Row],[tee time5]]&lt;&gt;"",COUNTIF('Fall FD - players'!$B$2:$B$65,"="&amp;Table2[[#This Row],[tee time5]]),"")</f>
        <v/>
      </c>
      <c r="AD52" s="59" t="str">
        <f>_xlfn.IFNA(VLOOKUP(Table2[[#This Row],[tee time5]],'Fall FD - groups'!$A$3:$F$20,6,FALSE),"")</f>
        <v/>
      </c>
      <c r="AE52" s="4" t="str">
        <f>_xlfn.IFNA(VLOOKUP(Table2[[#This Row],[tee time5]],'Fall FD - groups'!$A$3:$F$20,4,FALSE),"")</f>
        <v/>
      </c>
      <c r="AF52" s="13" t="str">
        <f>IFERROR(MIN(_xlfn.IFNA(VLOOKUP(Table2[[#This Row],[tee time5]],'Fall FD - groups'!$A$3:$F$20,5,FALSE),""),starting_interval + Table2[[#This Row],[round5]] - standard_round_time),"")</f>
        <v/>
      </c>
      <c r="AG52" s="69" t="str">
        <f>IF(AND(Table2[[#This Row],[gap5]]="NA",Table2[[#This Row],[round5]]&lt;4/24),0,IFERROR((MAX(starting_interval,IF(Table2[[#This Row],[gap5]]="NA",Table2[[#This Row],[avg gap]],Table2[[#This Row],[gap5]]))-starting_interval)*Table2[[#This Row],[followers5]]/Table2[[#This Row],[group size5]],""))</f>
        <v/>
      </c>
      <c r="AH52" s="32">
        <f>_xlfn.IFNA(VLOOKUP(Table2[[#This Row],[Name]],'Stableford - players'!$A$2:$B$65,2,FALSE),"")</f>
        <v>0.375</v>
      </c>
      <c r="AI52" s="59">
        <f>IF(Table2[[#This Row],[tee time6]]&lt;&gt;"",COUNTIF('Stableford - players'!$B$2:$B$65,"="&amp;Table2[[#This Row],[tee time6]]),"")</f>
        <v>4</v>
      </c>
      <c r="AJ52" s="59">
        <f>_xlfn.IFNA(VLOOKUP(Table2[[#This Row],[tee time6]],'Stableford - groups'!$A$3:$F$20,6,FALSE),"")</f>
        <v>36</v>
      </c>
      <c r="AK52" s="11">
        <f>_xlfn.IFNA(VLOOKUP(Table2[[#This Row],[tee time6]],'Stableford - groups'!$A$3:$F$20,4,FALSE),"")</f>
        <v>0.1694444444444444</v>
      </c>
      <c r="AL52" s="13">
        <f>_xlfn.IFNA(VLOOKUP(Table2[[#This Row],[tee time6]],'Stableford - groups'!$A$3:$F$20,5,FALSE),"")</f>
        <v>9.0277777777777457E-3</v>
      </c>
      <c r="AM52" s="68">
        <f>IF(AND(Table2[[#This Row],[gap6]]="NA",Table2[[#This Row],[round6]]&lt;4/24),0,IFERROR((MAX(starting_interval,IF(Table2[[#This Row],[gap6]]="NA",Table2[[#This Row],[avg gap]],Table2[[#This Row],[gap6]]))-starting_interval)*Table2[[#This Row],[followers6]]/Table2[[#This Row],[group size6]],""))</f>
        <v>1.8749999999999715E-2</v>
      </c>
      <c r="AN52" s="32">
        <f>_xlfn.IFNA(VLOOKUP(Table2[[#This Row],[Name]],'Turkey Shoot - players'!$A$2:$B$65,2,FALSE),"")</f>
        <v>0.41666666666666669</v>
      </c>
      <c r="AO52" s="59">
        <f>IF(Table2[[#This Row],[tee time7]]&lt;&gt;"",COUNTIF('Turkey Shoot - players'!$B$2:$B$65,"="&amp;Table2[[#This Row],[tee time7]]),"")</f>
        <v>4</v>
      </c>
      <c r="AP52" s="59">
        <f>_xlfn.IFNA(VLOOKUP(Table2[[#This Row],[tee time7]],'Stableford - groups'!$A$3:$F$20,6,FALSE),"")</f>
        <v>12</v>
      </c>
      <c r="AQ52" s="11">
        <f>_xlfn.IFNA(VLOOKUP(Table2[[#This Row],[tee time7]],'Turkey Shoot - groups'!$A$3:$F$20,4,FALSE),"")</f>
        <v>0.18055555555555558</v>
      </c>
      <c r="AR52" s="13">
        <f>_xlfn.IFNA(VLOOKUP(Table2[[#This Row],[tee time7]],'Turkey Shoot - groups'!$A$3:$F$20,5,FALSE),"")</f>
        <v>1.2499999999999999E-2</v>
      </c>
      <c r="AS52" s="68">
        <f>IF(AND(Table2[[#This Row],[gap7]]="NA",Table2[[#This Row],[round7]]&lt;4/24),0,IFERROR((MAX(starting_interval,IF(Table2[[#This Row],[gap7]]="NA",Table2[[#This Row],[avg gap]],Table2[[#This Row],[gap7]]))-starting_interval)*Table2[[#This Row],[followers7]]/Table2[[#This Row],[group size7]],""))</f>
        <v>1.6666666666666663E-2</v>
      </c>
      <c r="AT52" s="72">
        <f>COUNT(Table2[[#This Row],[Tee time1]],Table2[[#This Row],[tee time2]],Table2[[#This Row],[tee time3]],Table2[[#This Row],[tee time4]],Table2[[#This Row],[tee time5]],Table2[[#This Row],[tee time6]],Table2[[#This Row],[tee time7]])</f>
        <v>2</v>
      </c>
      <c r="AU52" s="4">
        <f>IFERROR(AVERAGE(Table2[[#This Row],[Tee time1]],Table2[[#This Row],[tee time2]],Table2[[#This Row],[tee time3]],Table2[[#This Row],[tee time4]],Table2[[#This Row],[tee time5]],Table2[[#This Row],[tee time6]],Table2[[#This Row],[tee time7]]),"")</f>
        <v>0.39583333333333337</v>
      </c>
      <c r="AV52" s="11">
        <f>IFERROR(MEDIAN(Table2[[#This Row],[round1]],Table2[[#This Row],[Round2]],Table2[[#This Row],[round3]],Table2[[#This Row],[round4]],Table2[[#This Row],[round5]],Table2[[#This Row],[round6]],Table2[[#This Row],[round7]]),"")</f>
        <v>0.17499999999999999</v>
      </c>
      <c r="AW52" s="11">
        <f>IFERROR(AVERAGE(Table2[[#This Row],[gap1]],Table2[[#This Row],[gap2]],Table2[[#This Row],[gap3]],Table2[[#This Row],[gap4]],Table2[[#This Row],[gap5]],Table2[[#This Row],[gap6]],Table2[[#This Row],[gap7]]),"")</f>
        <v>1.0763888888888871E-2</v>
      </c>
      <c r="AX52" s="9">
        <f>IFERROR((Table2[[#This Row],[avg gap]]-starting_interval)*24*60*Table2[[#This Row],[Count]],"NA")</f>
        <v>10.99999999999995</v>
      </c>
      <c r="AY5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3.5416666666666374E-2</v>
      </c>
      <c r="AZ52" s="2"/>
    </row>
    <row r="53" spans="1:52" x14ac:dyDescent="0.3">
      <c r="A53" s="10" t="s">
        <v>475</v>
      </c>
      <c r="B53" s="28"/>
      <c r="C53" s="29">
        <v>20.5</v>
      </c>
      <c r="D53" s="63" t="str">
        <f>_xlfn.IFNA(VLOOKUP(Table2[[#This Row],[Name]],'Classic day 1 - players'!$A$2:$B$64,2,FALSE),"")</f>
        <v/>
      </c>
      <c r="E53" s="34" t="str">
        <f>IF(Table2[[#This Row],[Tee time1]]&lt;&gt;"",COUNTIF('Classic day 1 - players'!$B$2:$B$64,"="&amp;Table2[[#This Row],[Tee time1]]),"")</f>
        <v/>
      </c>
      <c r="F53" s="34" t="str">
        <f>_xlfn.IFNA(VLOOKUP(Table2[[#This Row],[Tee time1]],'Classic day 1 - groups'!$A$3:$F$20,6,FALSE),"")</f>
        <v/>
      </c>
      <c r="G53" s="30" t="str">
        <f>_xlfn.IFNA(VLOOKUP(Table2[[#This Row],[Tee time1]],'Classic day 1 - groups'!$A$3:$F$20,4,FALSE),"")</f>
        <v/>
      </c>
      <c r="H53" s="64" t="str">
        <f>_xlfn.IFNA(VLOOKUP(Table2[[#This Row],[Tee time1]],'Classic day 1 - groups'!$A$3:$F$20,5,FALSE),"")</f>
        <v/>
      </c>
      <c r="I53" s="69" t="str">
        <f>IFERROR((MAX(starting_interval,IF(Table2[[#This Row],[gap1]]="NA",Table2[[#This Row],[avg gap]],Table2[[#This Row],[gap1]]))-starting_interval)*Table2[[#This Row],[followers1]]/Table2[[#This Row],[group size]],"")</f>
        <v/>
      </c>
      <c r="J53" s="32" t="str">
        <f>_xlfn.IFNA(VLOOKUP(Table2[[#This Row],[Name]],'Classic day 2 - players'!$A$2:$B$64,2,FALSE),"")</f>
        <v/>
      </c>
      <c r="K53" s="34" t="str">
        <f>IF(Table2[[#This Row],[tee time2]]&lt;&gt;"",COUNTIF('Classic day 2 - players'!$B$2:$B$64,"="&amp;Table2[[#This Row],[tee time2]]),"")</f>
        <v/>
      </c>
      <c r="L53" s="34" t="str">
        <f>_xlfn.IFNA(VLOOKUP(Table2[[#This Row],[tee time2]],'Classic day 2 - groups'!$A$3:$F$20,6,FALSE),"")</f>
        <v/>
      </c>
      <c r="M53" s="4" t="str">
        <f>_xlfn.IFNA(VLOOKUP(Table2[[#This Row],[tee time2]],'Classic day 2 - groups'!$A$3:$F$20,4,FALSE),"")</f>
        <v/>
      </c>
      <c r="N53" s="65" t="str">
        <f>_xlfn.IFNA(VLOOKUP(Table2[[#This Row],[tee time2]],'Classic day 2 - groups'!$A$3:$F$20,5,FALSE),"")</f>
        <v/>
      </c>
      <c r="O53" s="69" t="str">
        <f>IFERROR((MAX(starting_interval,IF(Table2[[#This Row],[gap2]]="NA",Table2[[#This Row],[avg gap]],Table2[[#This Row],[gap2]]))-starting_interval)*Table2[[#This Row],[followers2]]/Table2[[#This Row],[group size2]],"")</f>
        <v/>
      </c>
      <c r="P53" s="66" t="str">
        <f>_xlfn.IFNA(VLOOKUP(Table2[[#This Row],[Name]],'Summer FD - players'!$A$2:$B$65,2,FALSE),"")</f>
        <v/>
      </c>
      <c r="Q53" s="60" t="str">
        <f>IF(Table2[[#This Row],[tee time3]]&lt;&gt;"",COUNTIF('Summer FD - players'!$B$2:$B$65,"="&amp;Table2[[#This Row],[tee time3]]),"")</f>
        <v/>
      </c>
      <c r="R53" s="60" t="str">
        <f>_xlfn.IFNA(VLOOKUP(Table2[[#This Row],[tee time3]],'Summer FD - groups'!$A$3:$F$20,6,FALSE),"")</f>
        <v/>
      </c>
      <c r="S53" s="3" t="str">
        <f>_xlfn.IFNA(VLOOKUP(Table2[[#This Row],[tee time3]],'Summer FD - groups'!$A$3:$F$20,4,FALSE),"")</f>
        <v/>
      </c>
      <c r="T53" s="65" t="str">
        <f>_xlfn.IFNA(VLOOKUP(Table2[[#This Row],[tee time3]],'Summer FD - groups'!$A$3:$F$20,5,FALSE),"")</f>
        <v/>
      </c>
      <c r="U53" s="69" t="str">
        <f>IF(Table2[[#This Row],[avg gap]]&lt;&gt;"",IFERROR((MAX(starting_interval,IF(Table2[[#This Row],[gap3]]="NA",Table2[[#This Row],[avg gap]],Table2[[#This Row],[gap3]]))-starting_interval)*Table2[[#This Row],[followers3]]/Table2[[#This Row],[group size3]],""),"")</f>
        <v/>
      </c>
      <c r="V53" s="32">
        <f>_xlfn.IFNA(VLOOKUP(Table2[[#This Row],[Name]],'6-6-6 - players'!$A$2:$B$69,2,FALSE),"")</f>
        <v>0.39583333333333331</v>
      </c>
      <c r="W53" s="60">
        <f>IF(Table2[[#This Row],[tee time4]]&lt;&gt;"",COUNTIF('6-6-6 - players'!$B$2:$B$69,"="&amp;Table2[[#This Row],[tee time4]]),"")</f>
        <v>4</v>
      </c>
      <c r="X53" s="60">
        <f>_xlfn.IFNA(VLOOKUP(Table2[[#This Row],[tee time4]],'6-6-6 - groups'!$A$3:$F$20,6,FALSE),"")</f>
        <v>32</v>
      </c>
      <c r="Y53" s="4">
        <f>_xlfn.IFNA(VLOOKUP(Table2[[#This Row],[tee time4]],'6-6-6 - groups'!$A$3:$F$20,4,FALSE),"")</f>
        <v>0.17152777777777778</v>
      </c>
      <c r="Z53" s="13">
        <f>_xlfn.IFNA(VLOOKUP(Table2[[#This Row],[tee time4]],'6-6-6 - groups'!$A$3:$F$20,5,FALSE),"")</f>
        <v>4.8611111111110938E-3</v>
      </c>
      <c r="AA53" s="69">
        <f>IF(Table2[[#This Row],[avg gap]]&lt;&gt;"",IFERROR((MAX(starting_interval,IF(Table2[[#This Row],[gap4]]="NA",Table2[[#This Row],[avg gap]],Table2[[#This Row],[gap4]]))-starting_interval)*Table2[[#This Row],[followers4]]/Table2[[#This Row],[group size4]],""),"")</f>
        <v>0</v>
      </c>
      <c r="AB53" s="32">
        <f>_xlfn.IFNA(VLOOKUP(Table2[[#This Row],[Name]],'Fall FD - players'!$A$2:$B$65,2,FALSE),"")</f>
        <v>0.43472222222222223</v>
      </c>
      <c r="AC53" s="60">
        <f>IF(Table2[[#This Row],[tee time5]]&lt;&gt;"",COUNTIF('Fall FD - players'!$B$2:$B$65,"="&amp;Table2[[#This Row],[tee time5]]),"")</f>
        <v>2</v>
      </c>
      <c r="AD53" s="60">
        <f>_xlfn.IFNA(VLOOKUP(Table2[[#This Row],[tee time5]],'Fall FD - groups'!$A$3:$F$20,6,FALSE),"")</f>
        <v>12</v>
      </c>
      <c r="AE53" s="4">
        <f>_xlfn.IFNA(VLOOKUP(Table2[[#This Row],[tee time5]],'Fall FD - groups'!$A$3:$F$20,4,FALSE),"")</f>
        <v>0.17638888888888882</v>
      </c>
      <c r="AF53" s="13">
        <f>IFERROR(MIN(_xlfn.IFNA(VLOOKUP(Table2[[#This Row],[tee time5]],'Fall FD - groups'!$A$3:$F$20,5,FALSE),""),starting_interval + Table2[[#This Row],[round5]] - standard_round_time),"")</f>
        <v>3.4722222222220989E-3</v>
      </c>
      <c r="AG53" s="69">
        <f>IF(AND(Table2[[#This Row],[gap5]]="NA",Table2[[#This Row],[round5]]&lt;4/24),0,IFERROR((MAX(starting_interval,IF(Table2[[#This Row],[gap5]]="NA",Table2[[#This Row],[avg gap]],Table2[[#This Row],[gap5]]))-starting_interval)*Table2[[#This Row],[followers5]]/Table2[[#This Row],[group size5]],""))</f>
        <v>0</v>
      </c>
      <c r="AH53" s="32">
        <f>_xlfn.IFNA(VLOOKUP(Table2[[#This Row],[Name]],'Stableford - players'!$A$2:$B$65,2,FALSE),"")</f>
        <v>0.38194444444444442</v>
      </c>
      <c r="AI53" s="60">
        <f>IF(Table2[[#This Row],[tee time6]]&lt;&gt;"",COUNTIF('Stableford - players'!$B$2:$B$65,"="&amp;Table2[[#This Row],[tee time6]]),"")</f>
        <v>4</v>
      </c>
      <c r="AJ53" s="59">
        <f>_xlfn.IFNA(VLOOKUP(Table2[[#This Row],[tee time6]],'Stableford - groups'!$A$3:$F$20,6,FALSE),"")</f>
        <v>32</v>
      </c>
      <c r="AK53" s="11">
        <f>_xlfn.IFNA(VLOOKUP(Table2[[#This Row],[tee time6]],'Stableford - groups'!$A$3:$F$20,4,FALSE),"")</f>
        <v>0.17291666666666666</v>
      </c>
      <c r="AL53" s="13">
        <f>_xlfn.IFNA(VLOOKUP(Table2[[#This Row],[tee time6]],'Stableford - groups'!$A$3:$F$20,5,FALSE),"")</f>
        <v>1.1111111111111183E-2</v>
      </c>
      <c r="AM53" s="68">
        <f>IF(AND(Table2[[#This Row],[gap6]]="NA",Table2[[#This Row],[round6]]&lt;4/24),0,IFERROR((MAX(starting_interval,IF(Table2[[#This Row],[gap6]]="NA",Table2[[#This Row],[avg gap]],Table2[[#This Row],[gap6]]))-starting_interval)*Table2[[#This Row],[followers6]]/Table2[[#This Row],[group size6]],""))</f>
        <v>3.3333333333333909E-2</v>
      </c>
      <c r="AN53" s="32" t="str">
        <f>_xlfn.IFNA(VLOOKUP(Table2[[#This Row],[Name]],'Turkey Shoot - players'!$A$2:$B$65,2,FALSE),"")</f>
        <v/>
      </c>
      <c r="AO53" s="59" t="str">
        <f>IF(Table2[[#This Row],[tee time7]]&lt;&gt;"",COUNTIF('Turkey Shoot - players'!$B$2:$B$65,"="&amp;Table2[[#This Row],[tee time7]]),"")</f>
        <v/>
      </c>
      <c r="AP53" s="59" t="str">
        <f>_xlfn.IFNA(VLOOKUP(Table2[[#This Row],[tee time7]],'Stableford - groups'!$A$3:$F$20,6,FALSE),"")</f>
        <v/>
      </c>
      <c r="AQ53" s="11" t="str">
        <f>_xlfn.IFNA(VLOOKUP(Table2[[#This Row],[tee time7]],'Turkey Shoot - groups'!$A$3:$F$20,4,FALSE),"")</f>
        <v/>
      </c>
      <c r="AR53" s="13" t="str">
        <f>_xlfn.IFNA(VLOOKUP(Table2[[#This Row],[tee time7]],'Turkey Shoot - groups'!$A$3:$F$20,5,FALSE),"")</f>
        <v/>
      </c>
      <c r="AS53" s="68" t="str">
        <f>IF(AND(Table2[[#This Row],[gap7]]="NA",Table2[[#This Row],[round7]]&lt;4/24),0,IFERROR((MAX(starting_interval,IF(Table2[[#This Row],[gap7]]="NA",Table2[[#This Row],[avg gap]],Table2[[#This Row],[gap7]]))-starting_interval)*Table2[[#This Row],[followers7]]/Table2[[#This Row],[group size7]],""))</f>
        <v/>
      </c>
      <c r="AT53" s="72">
        <f>COUNT(Table2[[#This Row],[Tee time1]],Table2[[#This Row],[tee time2]],Table2[[#This Row],[tee time3]],Table2[[#This Row],[tee time4]],Table2[[#This Row],[tee time5]],Table2[[#This Row],[tee time6]],Table2[[#This Row],[tee time7]])</f>
        <v>3</v>
      </c>
      <c r="AU53" s="4">
        <f>IFERROR(AVERAGE(Table2[[#This Row],[Tee time1]],Table2[[#This Row],[tee time2]],Table2[[#This Row],[tee time3]],Table2[[#This Row],[tee time4]],Table2[[#This Row],[tee time5]],Table2[[#This Row],[tee time6]],Table2[[#This Row],[tee time7]]),"")</f>
        <v>0.40416666666666662</v>
      </c>
      <c r="AV53" s="30">
        <f>IFERROR(MEDIAN(Table2[[#This Row],[round1]],Table2[[#This Row],[Round2]],Table2[[#This Row],[round3]],Table2[[#This Row],[round4]],Table2[[#This Row],[round5]],Table2[[#This Row],[round6]],Table2[[#This Row],[round7]]),"")</f>
        <v>0.17291666666666666</v>
      </c>
      <c r="AW53" s="30">
        <f>IFERROR(AVERAGE(Table2[[#This Row],[gap1]],Table2[[#This Row],[gap2]],Table2[[#This Row],[gap3]],Table2[[#This Row],[gap4]],Table2[[#This Row],[gap5]],Table2[[#This Row],[gap6]],Table2[[#This Row],[gap7]]),"")</f>
        <v>6.4814814814814587E-3</v>
      </c>
      <c r="AX53" s="9">
        <f>IFERROR((Table2[[#This Row],[avg gap]]-starting_interval)*24*60*Table2[[#This Row],[Count]],"NA")</f>
        <v>-2.0000000000000964</v>
      </c>
      <c r="AY5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3.3333333333333909E-2</v>
      </c>
      <c r="AZ53" s="2"/>
    </row>
    <row r="54" spans="1:52" x14ac:dyDescent="0.3">
      <c r="A54" s="10" t="s">
        <v>477</v>
      </c>
      <c r="B54" s="28"/>
      <c r="C54" s="29">
        <v>2.2999999999999998</v>
      </c>
      <c r="D54" s="63" t="str">
        <f>_xlfn.IFNA(VLOOKUP(Table2[[#This Row],[Name]],'Classic day 1 - players'!$A$2:$B$64,2,FALSE),"")</f>
        <v/>
      </c>
      <c r="E54" s="34" t="str">
        <f>IF(Table2[[#This Row],[Tee time1]]&lt;&gt;"",COUNTIF('Classic day 1 - players'!$B$2:$B$64,"="&amp;Table2[[#This Row],[Tee time1]]),"")</f>
        <v/>
      </c>
      <c r="F54" s="34" t="str">
        <f>_xlfn.IFNA(VLOOKUP(Table2[[#This Row],[Tee time1]],'Classic day 1 - groups'!$A$3:$F$20,6,FALSE),"")</f>
        <v/>
      </c>
      <c r="G54" s="30" t="str">
        <f>_xlfn.IFNA(VLOOKUP(Table2[[#This Row],[Tee time1]],'Classic day 1 - groups'!$A$3:$F$20,4,FALSE),"")</f>
        <v/>
      </c>
      <c r="H54" s="64" t="str">
        <f>_xlfn.IFNA(VLOOKUP(Table2[[#This Row],[Tee time1]],'Classic day 1 - groups'!$A$3:$F$20,5,FALSE),"")</f>
        <v/>
      </c>
      <c r="I54" s="69" t="str">
        <f>IFERROR((MAX(starting_interval,IF(Table2[[#This Row],[gap1]]="NA",Table2[[#This Row],[avg gap]],Table2[[#This Row],[gap1]]))-starting_interval)*Table2[[#This Row],[followers1]]/Table2[[#This Row],[group size]],"")</f>
        <v/>
      </c>
      <c r="J54" s="32" t="str">
        <f>_xlfn.IFNA(VLOOKUP(Table2[[#This Row],[Name]],'Classic day 2 - players'!$A$2:$B$64,2,FALSE),"")</f>
        <v/>
      </c>
      <c r="K54" s="33" t="str">
        <f>IF(Table2[[#This Row],[tee time2]]&lt;&gt;"",COUNTIF('Classic day 2 - players'!$B$2:$B$64,"="&amp;Table2[[#This Row],[tee time2]]),"")</f>
        <v/>
      </c>
      <c r="L54" s="33" t="str">
        <f>_xlfn.IFNA(VLOOKUP(Table2[[#This Row],[tee time2]],'Classic day 2 - groups'!$A$3:$F$20,6,FALSE),"")</f>
        <v/>
      </c>
      <c r="M54" s="4" t="str">
        <f>_xlfn.IFNA(VLOOKUP(Table2[[#This Row],[tee time2]],'Classic day 2 - groups'!$A$3:$F$20,4,FALSE),"")</f>
        <v/>
      </c>
      <c r="N54" s="65" t="str">
        <f>_xlfn.IFNA(VLOOKUP(Table2[[#This Row],[tee time2]],'Classic day 2 - groups'!$A$3:$F$20,5,FALSE),"")</f>
        <v/>
      </c>
      <c r="O54" s="69" t="str">
        <f>IFERROR((MAX(starting_interval,IF(Table2[[#This Row],[gap2]]="NA",Table2[[#This Row],[avg gap]],Table2[[#This Row],[gap2]]))-starting_interval)*Table2[[#This Row],[followers2]]/Table2[[#This Row],[group size2]],"")</f>
        <v/>
      </c>
      <c r="P54" s="66" t="str">
        <f>_xlfn.IFNA(VLOOKUP(Table2[[#This Row],[Name]],'Summer FD - players'!$A$2:$B$65,2,FALSE),"")</f>
        <v/>
      </c>
      <c r="Q54" s="60" t="str">
        <f>IF(Table2[[#This Row],[tee time3]]&lt;&gt;"",COUNTIF('Summer FD - players'!$B$2:$B$65,"="&amp;Table2[[#This Row],[tee time3]]),"")</f>
        <v/>
      </c>
      <c r="R54" s="60" t="str">
        <f>_xlfn.IFNA(VLOOKUP(Table2[[#This Row],[tee time3]],'Summer FD - groups'!$A$3:$F$20,6,FALSE),"")</f>
        <v/>
      </c>
      <c r="S54" s="3" t="str">
        <f>_xlfn.IFNA(VLOOKUP(Table2[[#This Row],[tee time3]],'Summer FD - groups'!$A$3:$F$20,4,FALSE),"")</f>
        <v/>
      </c>
      <c r="T54" s="65" t="str">
        <f>_xlfn.IFNA(VLOOKUP(Table2[[#This Row],[tee time3]],'Summer FD - groups'!$A$3:$F$20,5,FALSE),"")</f>
        <v/>
      </c>
      <c r="U54" s="69" t="str">
        <f>IF(Table2[[#This Row],[avg gap]]&lt;&gt;"",IFERROR((MAX(starting_interval,IF(Table2[[#This Row],[gap3]]="NA",Table2[[#This Row],[avg gap]],Table2[[#This Row],[gap3]]))-starting_interval)*Table2[[#This Row],[followers3]]/Table2[[#This Row],[group size3]],""),"")</f>
        <v/>
      </c>
      <c r="V54" s="32">
        <f>_xlfn.IFNA(VLOOKUP(Table2[[#This Row],[Name]],'6-6-6 - players'!$A$2:$B$69,2,FALSE),"")</f>
        <v>0.39583333333333331</v>
      </c>
      <c r="W54" s="60">
        <f>IF(Table2[[#This Row],[tee time4]]&lt;&gt;"",COUNTIF('6-6-6 - players'!$B$2:$B$69,"="&amp;Table2[[#This Row],[tee time4]]),"")</f>
        <v>4</v>
      </c>
      <c r="X54" s="60">
        <f>_xlfn.IFNA(VLOOKUP(Table2[[#This Row],[tee time4]],'6-6-6 - groups'!$A$3:$F$20,6,FALSE),"")</f>
        <v>32</v>
      </c>
      <c r="Y54" s="4">
        <f>_xlfn.IFNA(VLOOKUP(Table2[[#This Row],[tee time4]],'6-6-6 - groups'!$A$3:$F$20,4,FALSE),"")</f>
        <v>0.17152777777777778</v>
      </c>
      <c r="Z54" s="13">
        <f>_xlfn.IFNA(VLOOKUP(Table2[[#This Row],[tee time4]],'6-6-6 - groups'!$A$3:$F$20,5,FALSE),"")</f>
        <v>4.8611111111110938E-3</v>
      </c>
      <c r="AA54" s="69">
        <f>IF(Table2[[#This Row],[avg gap]]&lt;&gt;"",IFERROR((MAX(starting_interval,IF(Table2[[#This Row],[gap4]]="NA",Table2[[#This Row],[avg gap]],Table2[[#This Row],[gap4]]))-starting_interval)*Table2[[#This Row],[followers4]]/Table2[[#This Row],[group size4]],""),"")</f>
        <v>0</v>
      </c>
      <c r="AB54" s="32">
        <f>_xlfn.IFNA(VLOOKUP(Table2[[#This Row],[Name]],'Fall FD - players'!$A$2:$B$65,2,FALSE),"")</f>
        <v>0.43472222222222223</v>
      </c>
      <c r="AC54" s="60">
        <f>IF(Table2[[#This Row],[tee time5]]&lt;&gt;"",COUNTIF('Fall FD - players'!$B$2:$B$65,"="&amp;Table2[[#This Row],[tee time5]]),"")</f>
        <v>2</v>
      </c>
      <c r="AD54" s="60">
        <f>_xlfn.IFNA(VLOOKUP(Table2[[#This Row],[tee time5]],'Fall FD - groups'!$A$3:$F$20,6,FALSE),"")</f>
        <v>12</v>
      </c>
      <c r="AE54" s="4">
        <f>_xlfn.IFNA(VLOOKUP(Table2[[#This Row],[tee time5]],'Fall FD - groups'!$A$3:$F$20,4,FALSE),"")</f>
        <v>0.17638888888888882</v>
      </c>
      <c r="AF54" s="13">
        <f>IFERROR(MIN(_xlfn.IFNA(VLOOKUP(Table2[[#This Row],[tee time5]],'Fall FD - groups'!$A$3:$F$20,5,FALSE),""),starting_interval + Table2[[#This Row],[round5]] - standard_round_time),"")</f>
        <v>3.4722222222220989E-3</v>
      </c>
      <c r="AG54" s="69">
        <f>IF(AND(Table2[[#This Row],[gap5]]="NA",Table2[[#This Row],[round5]]&lt;4/24),0,IFERROR((MAX(starting_interval,IF(Table2[[#This Row],[gap5]]="NA",Table2[[#This Row],[avg gap]],Table2[[#This Row],[gap5]]))-starting_interval)*Table2[[#This Row],[followers5]]/Table2[[#This Row],[group size5]],""))</f>
        <v>0</v>
      </c>
      <c r="AH54" s="32">
        <f>_xlfn.IFNA(VLOOKUP(Table2[[#This Row],[Name]],'Stableford - players'!$A$2:$B$65,2,FALSE),"")</f>
        <v>0.38194444444444442</v>
      </c>
      <c r="AI54" s="60">
        <f>IF(Table2[[#This Row],[tee time6]]&lt;&gt;"",COUNTIF('Stableford - players'!$B$2:$B$65,"="&amp;Table2[[#This Row],[tee time6]]),"")</f>
        <v>4</v>
      </c>
      <c r="AJ54" s="59">
        <f>_xlfn.IFNA(VLOOKUP(Table2[[#This Row],[tee time6]],'Stableford - groups'!$A$3:$F$20,6,FALSE),"")</f>
        <v>32</v>
      </c>
      <c r="AK54" s="11">
        <f>_xlfn.IFNA(VLOOKUP(Table2[[#This Row],[tee time6]],'Stableford - groups'!$A$3:$F$20,4,FALSE),"")</f>
        <v>0.17291666666666666</v>
      </c>
      <c r="AL54" s="13">
        <f>_xlfn.IFNA(VLOOKUP(Table2[[#This Row],[tee time6]],'Stableford - groups'!$A$3:$F$20,5,FALSE),"")</f>
        <v>1.1111111111111183E-2</v>
      </c>
      <c r="AM54" s="68">
        <f>IF(AND(Table2[[#This Row],[gap6]]="NA",Table2[[#This Row],[round6]]&lt;4/24),0,IFERROR((MAX(starting_interval,IF(Table2[[#This Row],[gap6]]="NA",Table2[[#This Row],[avg gap]],Table2[[#This Row],[gap6]]))-starting_interval)*Table2[[#This Row],[followers6]]/Table2[[#This Row],[group size6]],""))</f>
        <v>3.3333333333333909E-2</v>
      </c>
      <c r="AN54" s="32" t="str">
        <f>_xlfn.IFNA(VLOOKUP(Table2[[#This Row],[Name]],'Turkey Shoot - players'!$A$2:$B$65,2,FALSE),"")</f>
        <v/>
      </c>
      <c r="AO54" s="59" t="str">
        <f>IF(Table2[[#This Row],[tee time7]]&lt;&gt;"",COUNTIF('Turkey Shoot - players'!$B$2:$B$65,"="&amp;Table2[[#This Row],[tee time7]]),"")</f>
        <v/>
      </c>
      <c r="AP54" s="59" t="str">
        <f>_xlfn.IFNA(VLOOKUP(Table2[[#This Row],[tee time7]],'Stableford - groups'!$A$3:$F$20,6,FALSE),"")</f>
        <v/>
      </c>
      <c r="AQ54" s="11" t="str">
        <f>_xlfn.IFNA(VLOOKUP(Table2[[#This Row],[tee time7]],'Turkey Shoot - groups'!$A$3:$F$20,4,FALSE),"")</f>
        <v/>
      </c>
      <c r="AR54" s="13" t="str">
        <f>_xlfn.IFNA(VLOOKUP(Table2[[#This Row],[tee time7]],'Turkey Shoot - groups'!$A$3:$F$20,5,FALSE),"")</f>
        <v/>
      </c>
      <c r="AS54" s="68" t="str">
        <f>IF(AND(Table2[[#This Row],[gap7]]="NA",Table2[[#This Row],[round7]]&lt;4/24),0,IFERROR((MAX(starting_interval,IF(Table2[[#This Row],[gap7]]="NA",Table2[[#This Row],[avg gap]],Table2[[#This Row],[gap7]]))-starting_interval)*Table2[[#This Row],[followers7]]/Table2[[#This Row],[group size7]],""))</f>
        <v/>
      </c>
      <c r="AT54" s="72">
        <f>COUNT(Table2[[#This Row],[Tee time1]],Table2[[#This Row],[tee time2]],Table2[[#This Row],[tee time3]],Table2[[#This Row],[tee time4]],Table2[[#This Row],[tee time5]],Table2[[#This Row],[tee time6]],Table2[[#This Row],[tee time7]])</f>
        <v>3</v>
      </c>
      <c r="AU54" s="4">
        <f>IFERROR(AVERAGE(Table2[[#This Row],[Tee time1]],Table2[[#This Row],[tee time2]],Table2[[#This Row],[tee time3]],Table2[[#This Row],[tee time4]],Table2[[#This Row],[tee time5]],Table2[[#This Row],[tee time6]],Table2[[#This Row],[tee time7]]),"")</f>
        <v>0.40416666666666662</v>
      </c>
      <c r="AV54" s="30">
        <f>IFERROR(MEDIAN(Table2[[#This Row],[round1]],Table2[[#This Row],[Round2]],Table2[[#This Row],[round3]],Table2[[#This Row],[round4]],Table2[[#This Row],[round5]],Table2[[#This Row],[round6]],Table2[[#This Row],[round7]]),"")</f>
        <v>0.17291666666666666</v>
      </c>
      <c r="AW54" s="30">
        <f>IFERROR(AVERAGE(Table2[[#This Row],[gap1]],Table2[[#This Row],[gap2]],Table2[[#This Row],[gap3]],Table2[[#This Row],[gap4]],Table2[[#This Row],[gap5]],Table2[[#This Row],[gap6]],Table2[[#This Row],[gap7]]),"")</f>
        <v>6.4814814814814587E-3</v>
      </c>
      <c r="AX54" s="9">
        <f>IFERROR((Table2[[#This Row],[avg gap]]-starting_interval)*24*60*Table2[[#This Row],[Count]],"NA")</f>
        <v>-2.0000000000000964</v>
      </c>
      <c r="AY5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3.3333333333333909E-2</v>
      </c>
      <c r="AZ54" s="2"/>
    </row>
    <row r="55" spans="1:52" x14ac:dyDescent="0.3">
      <c r="A55" s="10" t="s">
        <v>114</v>
      </c>
      <c r="B55" s="1" t="s">
        <v>353</v>
      </c>
      <c r="C55" s="19">
        <v>6.9</v>
      </c>
      <c r="D55" s="32" t="str">
        <f>_xlfn.IFNA(VLOOKUP(Table2[[#This Row],[Name]],'Classic day 1 - players'!$A$2:$B$64,2,FALSE),"")</f>
        <v/>
      </c>
      <c r="E55" s="33" t="str">
        <f>IF(Table2[[#This Row],[Tee time1]]&lt;&gt;"",COUNTIF('Classic day 1 - players'!$B$2:$B$64,"="&amp;Table2[[#This Row],[Tee time1]]),"")</f>
        <v/>
      </c>
      <c r="F55" s="33" t="str">
        <f>_xlfn.IFNA(VLOOKUP(Table2[[#This Row],[Tee time1]],'Classic day 1 - groups'!$A$3:$F$20,6,FALSE),"")</f>
        <v/>
      </c>
      <c r="G55" s="11" t="str">
        <f>_xlfn.IFNA(VLOOKUP(Table2[[#This Row],[Tee time1]],'Classic day 1 - groups'!$A$3:$F$20,4,FALSE),"")</f>
        <v/>
      </c>
      <c r="H55" s="12" t="str">
        <f>_xlfn.IFNA(VLOOKUP(Table2[[#This Row],[Tee time1]],'Classic day 1 - groups'!$A$3:$F$20,5,FALSE),"")</f>
        <v/>
      </c>
      <c r="I55" s="69" t="str">
        <f>IFERROR((MAX(starting_interval,IF(Table2[[#This Row],[gap1]]="NA",Table2[[#This Row],[avg gap]],Table2[[#This Row],[gap1]]))-starting_interval)*Table2[[#This Row],[followers1]]/Table2[[#This Row],[group size]],"")</f>
        <v/>
      </c>
      <c r="J55" s="32" t="str">
        <f>_xlfn.IFNA(VLOOKUP(Table2[[#This Row],[Name]],'Classic day 2 - players'!$A$2:$B$64,2,FALSE),"")</f>
        <v/>
      </c>
      <c r="K55" s="33" t="str">
        <f>IF(Table2[[#This Row],[tee time2]]&lt;&gt;"",COUNTIF('Classic day 2 - players'!$B$2:$B$64,"="&amp;Table2[[#This Row],[tee time2]]),"")</f>
        <v/>
      </c>
      <c r="L55" s="33" t="str">
        <f>_xlfn.IFNA(VLOOKUP(Table2[[#This Row],[tee time2]],'Classic day 2 - groups'!$A$3:$F$20,6,FALSE),"")</f>
        <v/>
      </c>
      <c r="M55" s="4" t="str">
        <f>_xlfn.IFNA(VLOOKUP(Table2[[#This Row],[tee time2]],'Classic day 2 - groups'!$A$3:$F$20,4,FALSE),"")</f>
        <v/>
      </c>
      <c r="N55" s="65" t="str">
        <f>_xlfn.IFNA(VLOOKUP(Table2[[#This Row],[tee time2]],'Classic day 2 - groups'!$A$3:$F$20,5,FALSE),"")</f>
        <v/>
      </c>
      <c r="O55" s="69" t="str">
        <f>IFERROR((MAX(starting_interval,IF(Table2[[#This Row],[gap2]]="NA",Table2[[#This Row],[avg gap]],Table2[[#This Row],[gap2]]))-starting_interval)*Table2[[#This Row],[followers2]]/Table2[[#This Row],[group size2]],"")</f>
        <v/>
      </c>
      <c r="P55" s="32">
        <f>_xlfn.IFNA(VLOOKUP(Table2[[#This Row],[Name]],'Summer FD - players'!$A$2:$B$65,2,FALSE),"")</f>
        <v>0.35694444444444445</v>
      </c>
      <c r="Q55" s="59">
        <f>IF(Table2[[#This Row],[tee time3]]&lt;&gt;"",COUNTIF('Summer FD - players'!$B$2:$B$65,"="&amp;Table2[[#This Row],[tee time3]]),"")</f>
        <v>4</v>
      </c>
      <c r="R55" s="59">
        <f>_xlfn.IFNA(VLOOKUP(Table2[[#This Row],[tee time3]],'Summer FD - groups'!$A$3:$F$20,6,FALSE),"")</f>
        <v>48</v>
      </c>
      <c r="S55" s="4">
        <f>_xlfn.IFNA(VLOOKUP(Table2[[#This Row],[tee time3]],'Summer FD - groups'!$A$3:$F$20,4,FALSE),"")</f>
        <v>0.18958333333333327</v>
      </c>
      <c r="T55" s="13">
        <f>_xlfn.IFNA(VLOOKUP(Table2[[#This Row],[tee time3]],'Summer FD - groups'!$A$3:$F$20,5,FALSE),"")</f>
        <v>5.5555555555555358E-3</v>
      </c>
      <c r="U55" s="69">
        <f>IF(Table2[[#This Row],[avg gap]]&lt;&gt;"",IFERROR((MAX(starting_interval,IF(Table2[[#This Row],[gap3]]="NA",Table2[[#This Row],[avg gap]],Table2[[#This Row],[gap3]]))-starting_interval)*Table2[[#This Row],[followers3]]/Table2[[#This Row],[group size3]],""),"")</f>
        <v>0</v>
      </c>
      <c r="V55" s="32" t="str">
        <f>_xlfn.IFNA(VLOOKUP(Table2[[#This Row],[Name]],'6-6-6 - players'!$A$2:$B$69,2,FALSE),"")</f>
        <v/>
      </c>
      <c r="W55" s="59" t="str">
        <f>IF(Table2[[#This Row],[tee time4]]&lt;&gt;"",COUNTIF('6-6-6 - players'!$B$2:$B$69,"="&amp;Table2[[#This Row],[tee time4]]),"")</f>
        <v/>
      </c>
      <c r="X55" s="59" t="str">
        <f>_xlfn.IFNA(VLOOKUP(Table2[[#This Row],[tee time4]],'6-6-6 - groups'!$A$3:$F$20,6,FALSE),"")</f>
        <v/>
      </c>
      <c r="Y55" s="4" t="str">
        <f>_xlfn.IFNA(VLOOKUP(Table2[[#This Row],[tee time4]],'6-6-6 - groups'!$A$3:$F$20,4,FALSE),"")</f>
        <v/>
      </c>
      <c r="Z55" s="13" t="str">
        <f>_xlfn.IFNA(VLOOKUP(Table2[[#This Row],[tee time4]],'6-6-6 - groups'!$A$3:$F$20,5,FALSE),"")</f>
        <v/>
      </c>
      <c r="AA55" s="69" t="str">
        <f>IF(Table2[[#This Row],[avg gap]]&lt;&gt;"",IFERROR((MAX(starting_interval,IF(Table2[[#This Row],[gap4]]="NA",Table2[[#This Row],[avg gap]],Table2[[#This Row],[gap4]]))-starting_interval)*Table2[[#This Row],[followers4]]/Table2[[#This Row],[group size4]],""),"")</f>
        <v/>
      </c>
      <c r="AB55" s="32" t="str">
        <f>_xlfn.IFNA(VLOOKUP(Table2[[#This Row],[Name]],'Fall FD - players'!$A$2:$B$65,2,FALSE),"")</f>
        <v/>
      </c>
      <c r="AC55" s="59" t="str">
        <f>IF(Table2[[#This Row],[tee time5]]&lt;&gt;"",COUNTIF('Fall FD - players'!$B$2:$B$65,"="&amp;Table2[[#This Row],[tee time5]]),"")</f>
        <v/>
      </c>
      <c r="AD55" s="59" t="str">
        <f>_xlfn.IFNA(VLOOKUP(Table2[[#This Row],[tee time5]],'Fall FD - groups'!$A$3:$F$20,6,FALSE),"")</f>
        <v/>
      </c>
      <c r="AE55" s="4" t="str">
        <f>_xlfn.IFNA(VLOOKUP(Table2[[#This Row],[tee time5]],'Fall FD - groups'!$A$3:$F$20,4,FALSE),"")</f>
        <v/>
      </c>
      <c r="AF55" s="13" t="str">
        <f>IFERROR(MIN(_xlfn.IFNA(VLOOKUP(Table2[[#This Row],[tee time5]],'Fall FD - groups'!$A$3:$F$20,5,FALSE),""),starting_interval + Table2[[#This Row],[round5]] - standard_round_time),"")</f>
        <v/>
      </c>
      <c r="AG55" s="69" t="str">
        <f>IF(AND(Table2[[#This Row],[gap5]]="NA",Table2[[#This Row],[round5]]&lt;4/24),0,IFERROR((MAX(starting_interval,IF(Table2[[#This Row],[gap5]]="NA",Table2[[#This Row],[avg gap]],Table2[[#This Row],[gap5]]))-starting_interval)*Table2[[#This Row],[followers5]]/Table2[[#This Row],[group size5]],""))</f>
        <v/>
      </c>
      <c r="AH55" s="32" t="str">
        <f>_xlfn.IFNA(VLOOKUP(Table2[[#This Row],[Name]],'Stableford - players'!$A$2:$B$65,2,FALSE),"")</f>
        <v/>
      </c>
      <c r="AI55" s="59" t="str">
        <f>IF(Table2[[#This Row],[tee time6]]&lt;&gt;"",COUNTIF('Stableford - players'!$B$2:$B$65,"="&amp;Table2[[#This Row],[tee time6]]),"")</f>
        <v/>
      </c>
      <c r="AJ55" s="59" t="str">
        <f>_xlfn.IFNA(VLOOKUP(Table2[[#This Row],[tee time6]],'Stableford - groups'!$A$3:$F$20,6,FALSE),"")</f>
        <v/>
      </c>
      <c r="AK55" s="11" t="str">
        <f>_xlfn.IFNA(VLOOKUP(Table2[[#This Row],[tee time6]],'Stableford - groups'!$A$3:$F$20,4,FALSE),"")</f>
        <v/>
      </c>
      <c r="AL55" s="13" t="str">
        <f>_xlfn.IFNA(VLOOKUP(Table2[[#This Row],[tee time6]],'Stableford - groups'!$A$3:$F$20,5,FALSE),"")</f>
        <v/>
      </c>
      <c r="AM55" s="68" t="str">
        <f>IF(AND(Table2[[#This Row],[gap6]]="NA",Table2[[#This Row],[round6]]&lt;4/24),0,IFERROR((MAX(starting_interval,IF(Table2[[#This Row],[gap6]]="NA",Table2[[#This Row],[avg gap]],Table2[[#This Row],[gap6]]))-starting_interval)*Table2[[#This Row],[followers6]]/Table2[[#This Row],[group size6]],""))</f>
        <v/>
      </c>
      <c r="AN55" s="32">
        <f>_xlfn.IFNA(VLOOKUP(Table2[[#This Row],[Name]],'Turkey Shoot - players'!$A$2:$B$65,2,FALSE),"")</f>
        <v>0.38194444444444442</v>
      </c>
      <c r="AO55" s="59">
        <f>IF(Table2[[#This Row],[tee time7]]&lt;&gt;"",COUNTIF('Turkey Shoot - players'!$B$2:$B$65,"="&amp;Table2[[#This Row],[tee time7]]),"")</f>
        <v>4</v>
      </c>
      <c r="AP55" s="59">
        <f>_xlfn.IFNA(VLOOKUP(Table2[[#This Row],[tee time7]],'Stableford - groups'!$A$3:$F$20,6,FALSE),"")</f>
        <v>32</v>
      </c>
      <c r="AQ55" s="11">
        <f>_xlfn.IFNA(VLOOKUP(Table2[[#This Row],[tee time7]],'Turkey Shoot - groups'!$A$3:$F$20,4,FALSE),"")</f>
        <v>0.17291666666666672</v>
      </c>
      <c r="AR55" s="13">
        <f>_xlfn.IFNA(VLOOKUP(Table2[[#This Row],[tee time7]],'Turkey Shoot - groups'!$A$3:$F$20,5,FALSE),"")</f>
        <v>1.1111111111111112E-2</v>
      </c>
      <c r="AS55" s="68">
        <f>IF(AND(Table2[[#This Row],[gap7]]="NA",Table2[[#This Row],[round7]]&lt;4/24),0,IFERROR((MAX(starting_interval,IF(Table2[[#This Row],[gap7]]="NA",Table2[[#This Row],[avg gap]],Table2[[#This Row],[gap7]]))-starting_interval)*Table2[[#This Row],[followers7]]/Table2[[#This Row],[group size7]],""))</f>
        <v>3.333333333333334E-2</v>
      </c>
      <c r="AT55" s="72">
        <f>COUNT(Table2[[#This Row],[Tee time1]],Table2[[#This Row],[tee time2]],Table2[[#This Row],[tee time3]],Table2[[#This Row],[tee time4]],Table2[[#This Row],[tee time5]],Table2[[#This Row],[tee time6]],Table2[[#This Row],[tee time7]])</f>
        <v>2</v>
      </c>
      <c r="AU55" s="4">
        <f>IFERROR(AVERAGE(Table2[[#This Row],[Tee time1]],Table2[[#This Row],[tee time2]],Table2[[#This Row],[tee time3]],Table2[[#This Row],[tee time4]],Table2[[#This Row],[tee time5]],Table2[[#This Row],[tee time6]],Table2[[#This Row],[tee time7]]),"")</f>
        <v>0.36944444444444446</v>
      </c>
      <c r="AV55" s="11">
        <f>IFERROR(MEDIAN(Table2[[#This Row],[round1]],Table2[[#This Row],[Round2]],Table2[[#This Row],[round3]],Table2[[#This Row],[round4]],Table2[[#This Row],[round5]],Table2[[#This Row],[round6]],Table2[[#This Row],[round7]]),"")</f>
        <v>0.18124999999999999</v>
      </c>
      <c r="AW55" s="11">
        <f>IFERROR(AVERAGE(Table2[[#This Row],[gap1]],Table2[[#This Row],[gap2]],Table2[[#This Row],[gap3]],Table2[[#This Row],[gap4]],Table2[[#This Row],[gap5]],Table2[[#This Row],[gap6]],Table2[[#This Row],[gap7]]),"")</f>
        <v>8.3333333333333245E-3</v>
      </c>
      <c r="AX55" s="9">
        <f>IFERROR((Table2[[#This Row],[avg gap]]-starting_interval)*24*60*Table2[[#This Row],[Count]],"NA")</f>
        <v>3.999999999999976</v>
      </c>
      <c r="AY5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3.333333333333334E-2</v>
      </c>
      <c r="AZ55" s="2"/>
    </row>
    <row r="56" spans="1:52" x14ac:dyDescent="0.3">
      <c r="A56" s="10" t="s">
        <v>97</v>
      </c>
      <c r="B56" s="1" t="s">
        <v>336</v>
      </c>
      <c r="C56" s="19">
        <v>9.6</v>
      </c>
      <c r="D56" s="32">
        <f>_xlfn.IFNA(VLOOKUP(Table2[[#This Row],[Name]],'Classic day 1 - players'!$A$2:$B$64,2,FALSE),"")</f>
        <v>0.3833333333333333</v>
      </c>
      <c r="E56" s="33">
        <f>IF(Table2[[#This Row],[Tee time1]]&lt;&gt;"",COUNTIF('Classic day 1 - players'!$B$2:$B$64,"="&amp;Table2[[#This Row],[Tee time1]]),"")</f>
        <v>3</v>
      </c>
      <c r="F56" s="33">
        <f>_xlfn.IFNA(VLOOKUP(Table2[[#This Row],[Tee time1]],'Classic day 1 - groups'!$A$3:$F$20,6,FALSE),"")</f>
        <v>36</v>
      </c>
      <c r="G56" s="11">
        <f>_xlfn.IFNA(VLOOKUP(Table2[[#This Row],[Tee time1]],'Classic day 1 - groups'!$A$3:$F$20,4,FALSE),"")</f>
        <v>0.19861111111111113</v>
      </c>
      <c r="H56" s="12">
        <f>_xlfn.IFNA(VLOOKUP(Table2[[#This Row],[Tee time1]],'Classic day 1 - groups'!$A$3:$F$20,5,FALSE),"")</f>
        <v>8.3333333333333037E-3</v>
      </c>
      <c r="I56" s="69">
        <f>IFERROR((MAX(starting_interval,IF(Table2[[#This Row],[gap1]]="NA",Table2[[#This Row],[avg gap]],Table2[[#This Row],[gap1]]))-starting_interval)*Table2[[#This Row],[followers1]]/Table2[[#This Row],[group size]],"")</f>
        <v>1.6666666666666316E-2</v>
      </c>
      <c r="J56" s="32">
        <f>_xlfn.IFNA(VLOOKUP(Table2[[#This Row],[Name]],'Classic day 2 - players'!$A$2:$B$64,2,FALSE),"")</f>
        <v>0.40208333333333335</v>
      </c>
      <c r="K56" s="33">
        <f>IF(Table2[[#This Row],[tee time2]]&lt;&gt;"",COUNTIF('Classic day 2 - players'!$B$2:$B$64,"="&amp;Table2[[#This Row],[tee time2]]),"")</f>
        <v>4</v>
      </c>
      <c r="L56" s="33">
        <f>_xlfn.IFNA(VLOOKUP(Table2[[#This Row],[tee time2]],'Classic day 2 - groups'!$A$3:$F$20,6,FALSE),"")</f>
        <v>8</v>
      </c>
      <c r="M56" s="4">
        <f>_xlfn.IFNA(VLOOKUP(Table2[[#This Row],[tee time2]],'Classic day 2 - groups'!$A$3:$F$20,4,FALSE),"")</f>
        <v>0.18958333333333333</v>
      </c>
      <c r="N56" s="65">
        <f>_xlfn.IFNA(VLOOKUP(Table2[[#This Row],[tee time2]],'Classic day 2 - groups'!$A$3:$F$20,5,FALSE),"")</f>
        <v>1.1805555555555555E-2</v>
      </c>
      <c r="O56" s="69">
        <f>IFERROR((MAX(starting_interval,IF(Table2[[#This Row],[gap2]]="NA",Table2[[#This Row],[avg gap]],Table2[[#This Row],[gap2]]))-starting_interval)*Table2[[#This Row],[followers2]]/Table2[[#This Row],[group size2]],"")</f>
        <v>9.7222222222222224E-3</v>
      </c>
      <c r="P56" s="32">
        <f>_xlfn.IFNA(VLOOKUP(Table2[[#This Row],[Name]],'Summer FD - players'!$A$2:$B$65,2,FALSE),"")</f>
        <v>0.35694444444444445</v>
      </c>
      <c r="Q56" s="59">
        <f>IF(Table2[[#This Row],[tee time3]]&lt;&gt;"",COUNTIF('Summer FD - players'!$B$2:$B$65,"="&amp;Table2[[#This Row],[tee time3]]),"")</f>
        <v>4</v>
      </c>
      <c r="R56" s="59">
        <f>_xlfn.IFNA(VLOOKUP(Table2[[#This Row],[tee time3]],'Summer FD - groups'!$A$3:$F$20,6,FALSE),"")</f>
        <v>48</v>
      </c>
      <c r="S56" s="4">
        <f>_xlfn.IFNA(VLOOKUP(Table2[[#This Row],[tee time3]],'Summer FD - groups'!$A$3:$F$20,4,FALSE),"")</f>
        <v>0.18958333333333327</v>
      </c>
      <c r="T56" s="13">
        <f>_xlfn.IFNA(VLOOKUP(Table2[[#This Row],[tee time3]],'Summer FD - groups'!$A$3:$F$20,5,FALSE),"")</f>
        <v>5.5555555555555358E-3</v>
      </c>
      <c r="U56" s="69">
        <f>IF(Table2[[#This Row],[avg gap]]&lt;&gt;"",IFERROR((MAX(starting_interval,IF(Table2[[#This Row],[gap3]]="NA",Table2[[#This Row],[avg gap]],Table2[[#This Row],[gap3]]))-starting_interval)*Table2[[#This Row],[followers3]]/Table2[[#This Row],[group size3]],""),"")</f>
        <v>0</v>
      </c>
      <c r="V56" s="32">
        <f>_xlfn.IFNA(VLOOKUP(Table2[[#This Row],[Name]],'6-6-6 - players'!$A$2:$B$69,2,FALSE),"")</f>
        <v>0.34027777777777773</v>
      </c>
      <c r="W56" s="59">
        <f>IF(Table2[[#This Row],[tee time4]]&lt;&gt;"",COUNTIF('6-6-6 - players'!$B$2:$B$69,"="&amp;Table2[[#This Row],[tee time4]]),"")</f>
        <v>4</v>
      </c>
      <c r="X56" s="59">
        <f>_xlfn.IFNA(VLOOKUP(Table2[[#This Row],[tee time4]],'6-6-6 - groups'!$A$3:$F$20,6,FALSE),"")</f>
        <v>64</v>
      </c>
      <c r="Y56" s="4">
        <f>_xlfn.IFNA(VLOOKUP(Table2[[#This Row],[tee time4]],'6-6-6 - groups'!$A$3:$F$20,4,FALSE),"")</f>
        <v>0.17569444444444443</v>
      </c>
      <c r="Z56" s="13">
        <f>_xlfn.IFNA(VLOOKUP(Table2[[#This Row],[tee time4]],'6-6-6 - groups'!$A$3:$F$20,5,FALSE),"")</f>
        <v>6.9444444444444198E-3</v>
      </c>
      <c r="AA56" s="69">
        <f>IF(Table2[[#This Row],[avg gap]]&lt;&gt;"",IFERROR((MAX(starting_interval,IF(Table2[[#This Row],[gap4]]="NA",Table2[[#This Row],[avg gap]],Table2[[#This Row],[gap4]]))-starting_interval)*Table2[[#This Row],[followers4]]/Table2[[#This Row],[group size4]],""),"")</f>
        <v>0</v>
      </c>
      <c r="AB56" s="32" t="str">
        <f>_xlfn.IFNA(VLOOKUP(Table2[[#This Row],[Name]],'Fall FD - players'!$A$2:$B$65,2,FALSE),"")</f>
        <v/>
      </c>
      <c r="AC56" s="59" t="str">
        <f>IF(Table2[[#This Row],[tee time5]]&lt;&gt;"",COUNTIF('Fall FD - players'!$B$2:$B$65,"="&amp;Table2[[#This Row],[tee time5]]),"")</f>
        <v/>
      </c>
      <c r="AD56" s="59" t="str">
        <f>_xlfn.IFNA(VLOOKUP(Table2[[#This Row],[tee time5]],'Fall FD - groups'!$A$3:$F$20,6,FALSE),"")</f>
        <v/>
      </c>
      <c r="AE56" s="4" t="str">
        <f>_xlfn.IFNA(VLOOKUP(Table2[[#This Row],[tee time5]],'Fall FD - groups'!$A$3:$F$20,4,FALSE),"")</f>
        <v/>
      </c>
      <c r="AF56" s="13" t="str">
        <f>IFERROR(MIN(_xlfn.IFNA(VLOOKUP(Table2[[#This Row],[tee time5]],'Fall FD - groups'!$A$3:$F$20,5,FALSE),""),starting_interval + Table2[[#This Row],[round5]] - standard_round_time),"")</f>
        <v/>
      </c>
      <c r="AG56" s="69" t="str">
        <f>IF(AND(Table2[[#This Row],[gap5]]="NA",Table2[[#This Row],[round5]]&lt;4/24),0,IFERROR((MAX(starting_interval,IF(Table2[[#This Row],[gap5]]="NA",Table2[[#This Row],[avg gap]],Table2[[#This Row],[gap5]]))-starting_interval)*Table2[[#This Row],[followers5]]/Table2[[#This Row],[group size5]],""))</f>
        <v/>
      </c>
      <c r="AH56" s="32">
        <f>_xlfn.IFNA(VLOOKUP(Table2[[#This Row],[Name]],'Stableford - players'!$A$2:$B$65,2,FALSE),"")</f>
        <v>0.3888888888888889</v>
      </c>
      <c r="AI56" s="59">
        <f>IF(Table2[[#This Row],[tee time6]]&lt;&gt;"",COUNTIF('Stableford - players'!$B$2:$B$65,"="&amp;Table2[[#This Row],[tee time6]]),"")</f>
        <v>4</v>
      </c>
      <c r="AJ56" s="59">
        <f>_xlfn.IFNA(VLOOKUP(Table2[[#This Row],[tee time6]],'Stableford - groups'!$A$3:$F$20,6,FALSE),"")</f>
        <v>28</v>
      </c>
      <c r="AK56" s="11">
        <f>_xlfn.IFNA(VLOOKUP(Table2[[#This Row],[tee time6]],'Stableford - groups'!$A$3:$F$20,4,FALSE),"")</f>
        <v>0.17222222222222222</v>
      </c>
      <c r="AL56" s="13">
        <f>_xlfn.IFNA(VLOOKUP(Table2[[#This Row],[tee time6]],'Stableford - groups'!$A$3:$F$20,5,FALSE),"")</f>
        <v>6.2499999999999778E-3</v>
      </c>
      <c r="AM56" s="68">
        <f>IF(AND(Table2[[#This Row],[gap6]]="NA",Table2[[#This Row],[round6]]&lt;4/24),0,IFERROR((MAX(starting_interval,IF(Table2[[#This Row],[gap6]]="NA",Table2[[#This Row],[avg gap]],Table2[[#This Row],[gap6]]))-starting_interval)*Table2[[#This Row],[followers6]]/Table2[[#This Row],[group size6]],""))</f>
        <v>0</v>
      </c>
      <c r="AN56" s="32">
        <f>_xlfn.IFNA(VLOOKUP(Table2[[#This Row],[Name]],'Turkey Shoot - players'!$A$2:$B$65,2,FALSE),"")</f>
        <v>0.40277777777777773</v>
      </c>
      <c r="AO56" s="59">
        <f>IF(Table2[[#This Row],[tee time7]]&lt;&gt;"",COUNTIF('Turkey Shoot - players'!$B$2:$B$65,"="&amp;Table2[[#This Row],[tee time7]]),"")</f>
        <v>4</v>
      </c>
      <c r="AP56" s="59">
        <f>_xlfn.IFNA(VLOOKUP(Table2[[#This Row],[tee time7]],'Stableford - groups'!$A$3:$F$20,6,FALSE),"")</f>
        <v>20</v>
      </c>
      <c r="AQ56" s="11">
        <f>_xlfn.IFNA(VLOOKUP(Table2[[#This Row],[tee time7]],'Turkey Shoot - groups'!$A$3:$F$20,4,FALSE),"")</f>
        <v>0.17291666666666666</v>
      </c>
      <c r="AR56" s="13">
        <f>_xlfn.IFNA(VLOOKUP(Table2[[#This Row],[tee time7]],'Turkey Shoot - groups'!$A$3:$F$20,5,FALSE),"")</f>
        <v>8.3333333333333332E-3</v>
      </c>
      <c r="AS56" s="68">
        <f>IF(AND(Table2[[#This Row],[gap7]]="NA",Table2[[#This Row],[round7]]&lt;4/24),0,IFERROR((MAX(starting_interval,IF(Table2[[#This Row],[gap7]]="NA",Table2[[#This Row],[avg gap]],Table2[[#This Row],[gap7]]))-starting_interval)*Table2[[#This Row],[followers7]]/Table2[[#This Row],[group size7]],""))</f>
        <v>6.9444444444444458E-3</v>
      </c>
      <c r="AT56" s="72">
        <f>COUNT(Table2[[#This Row],[Tee time1]],Table2[[#This Row],[tee time2]],Table2[[#This Row],[tee time3]],Table2[[#This Row],[tee time4]],Table2[[#This Row],[tee time5]],Table2[[#This Row],[tee time6]],Table2[[#This Row],[tee time7]])</f>
        <v>6</v>
      </c>
      <c r="AU56" s="4">
        <f>IFERROR(AVERAGE(Table2[[#This Row],[Tee time1]],Table2[[#This Row],[tee time2]],Table2[[#This Row],[tee time3]],Table2[[#This Row],[tee time4]],Table2[[#This Row],[tee time5]],Table2[[#This Row],[tee time6]],Table2[[#This Row],[tee time7]]),"")</f>
        <v>0.37905092592592587</v>
      </c>
      <c r="AV56" s="12">
        <f>IFERROR(MEDIAN(Table2[[#This Row],[round1]],Table2[[#This Row],[Round2]],Table2[[#This Row],[round3]],Table2[[#This Row],[round4]],Table2[[#This Row],[round5]],Table2[[#This Row],[round6]],Table2[[#This Row],[round7]]),"")</f>
        <v>0.18263888888888885</v>
      </c>
      <c r="AW56" s="11">
        <f>IFERROR(AVERAGE(Table2[[#This Row],[gap1]],Table2[[#This Row],[gap2]],Table2[[#This Row],[gap3]],Table2[[#This Row],[gap4]],Table2[[#This Row],[gap5]],Table2[[#This Row],[gap6]],Table2[[#This Row],[gap7]]),"")</f>
        <v>7.870370370370354E-3</v>
      </c>
      <c r="AX56" s="9">
        <f>IFERROR((Table2[[#This Row],[avg gap]]-starting_interval)*24*60*Table2[[#This Row],[Count]],"NA")</f>
        <v>7.9999999999998623</v>
      </c>
      <c r="AY5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3.3333333333332986E-2</v>
      </c>
      <c r="AZ56" s="2"/>
    </row>
    <row r="57" spans="1:52" x14ac:dyDescent="0.3">
      <c r="A57" s="10" t="s">
        <v>67</v>
      </c>
      <c r="B57" s="1" t="s">
        <v>305</v>
      </c>
      <c r="C57" s="19">
        <v>4.9000000000000004</v>
      </c>
      <c r="D57" s="32">
        <f>_xlfn.IFNA(VLOOKUP(Table2[[#This Row],[Name]],'Classic day 1 - players'!$A$2:$B$64,2,FALSE),"")</f>
        <v>0.37083333333333335</v>
      </c>
      <c r="E57" s="33">
        <f>IF(Table2[[#This Row],[Tee time1]]&lt;&gt;"",COUNTIF('Classic day 1 - players'!$B$2:$B$64,"="&amp;Table2[[#This Row],[Tee time1]]),"")</f>
        <v>3</v>
      </c>
      <c r="F57" s="33">
        <f>_xlfn.IFNA(VLOOKUP(Table2[[#This Row],[Tee time1]],'Classic day 1 - groups'!$A$3:$F$20,6,FALSE),"")</f>
        <v>44</v>
      </c>
      <c r="G57" s="11">
        <f>_xlfn.IFNA(VLOOKUP(Table2[[#This Row],[Tee time1]],'Classic day 1 - groups'!$A$3:$F$20,4,FALSE),"")</f>
        <v>0.2</v>
      </c>
      <c r="H57" s="12">
        <f>_xlfn.IFNA(VLOOKUP(Table2[[#This Row],[Tee time1]],'Classic day 1 - groups'!$A$3:$F$20,5,FALSE),"")</f>
        <v>9.0277777777777457E-3</v>
      </c>
      <c r="I57" s="69">
        <f>IFERROR((MAX(starting_interval,IF(Table2[[#This Row],[gap1]]="NA",Table2[[#This Row],[avg gap]],Table2[[#This Row],[gap1]]))-starting_interval)*Table2[[#This Row],[followers1]]/Table2[[#This Row],[group size]],"")</f>
        <v>3.055555555555509E-2</v>
      </c>
      <c r="J57" s="32" t="str">
        <f>_xlfn.IFNA(VLOOKUP(Table2[[#This Row],[Name]],'Classic day 2 - players'!$A$2:$B$64,2,FALSE),"")</f>
        <v/>
      </c>
      <c r="K57" s="33" t="str">
        <f>IF(Table2[[#This Row],[tee time2]]&lt;&gt;"",COUNTIF('Classic day 2 - players'!$B$2:$B$64,"="&amp;Table2[[#This Row],[tee time2]]),"")</f>
        <v/>
      </c>
      <c r="L57" s="33" t="str">
        <f>_xlfn.IFNA(VLOOKUP(Table2[[#This Row],[tee time2]],'Classic day 2 - groups'!$A$3:$F$20,6,FALSE),"")</f>
        <v/>
      </c>
      <c r="M57" s="4" t="str">
        <f>_xlfn.IFNA(VLOOKUP(Table2[[#This Row],[tee time2]],'Classic day 2 - groups'!$A$3:$F$20,4,FALSE),"")</f>
        <v/>
      </c>
      <c r="N57" s="65" t="str">
        <f>_xlfn.IFNA(VLOOKUP(Table2[[#This Row],[tee time2]],'Classic day 2 - groups'!$A$3:$F$20,5,FALSE),"")</f>
        <v/>
      </c>
      <c r="O57" s="69" t="str">
        <f>IFERROR((MAX(starting_interval,IF(Table2[[#This Row],[gap2]]="NA",Table2[[#This Row],[avg gap]],Table2[[#This Row],[gap2]]))-starting_interval)*Table2[[#This Row],[followers2]]/Table2[[#This Row],[group size2]],"")</f>
        <v/>
      </c>
      <c r="P57" s="32" t="str">
        <f>_xlfn.IFNA(VLOOKUP(Table2[[#This Row],[Name]],'Summer FD - players'!$A$2:$B$65,2,FALSE),"")</f>
        <v/>
      </c>
      <c r="Q57" s="59" t="str">
        <f>IF(Table2[[#This Row],[tee time3]]&lt;&gt;"",COUNTIF('Summer FD - players'!$B$2:$B$65,"="&amp;Table2[[#This Row],[tee time3]]),"")</f>
        <v/>
      </c>
      <c r="R57" s="59" t="str">
        <f>_xlfn.IFNA(VLOOKUP(Table2[[#This Row],[tee time3]],'Summer FD - groups'!$A$3:$F$20,6,FALSE),"")</f>
        <v/>
      </c>
      <c r="S57" s="4" t="str">
        <f>_xlfn.IFNA(VLOOKUP(Table2[[#This Row],[tee time3]],'Summer FD - groups'!$A$3:$F$20,4,FALSE),"")</f>
        <v/>
      </c>
      <c r="T57" s="13" t="str">
        <f>_xlfn.IFNA(VLOOKUP(Table2[[#This Row],[tee time3]],'Summer FD - groups'!$A$3:$F$20,5,FALSE),"")</f>
        <v/>
      </c>
      <c r="U57" s="69" t="str">
        <f>IF(Table2[[#This Row],[avg gap]]&lt;&gt;"",IFERROR((MAX(starting_interval,IF(Table2[[#This Row],[gap3]]="NA",Table2[[#This Row],[avg gap]],Table2[[#This Row],[gap3]]))-starting_interval)*Table2[[#This Row],[followers3]]/Table2[[#This Row],[group size3]],""),"")</f>
        <v/>
      </c>
      <c r="V57" s="32" t="str">
        <f>_xlfn.IFNA(VLOOKUP(Table2[[#This Row],[Name]],'6-6-6 - players'!$A$2:$B$69,2,FALSE),"")</f>
        <v/>
      </c>
      <c r="W57" s="59" t="str">
        <f>IF(Table2[[#This Row],[tee time4]]&lt;&gt;"",COUNTIF('6-6-6 - players'!$B$2:$B$69,"="&amp;Table2[[#This Row],[tee time4]]),"")</f>
        <v/>
      </c>
      <c r="X57" s="59" t="str">
        <f>_xlfn.IFNA(VLOOKUP(Table2[[#This Row],[tee time4]],'6-6-6 - groups'!$A$3:$F$20,6,FALSE),"")</f>
        <v/>
      </c>
      <c r="Y57" s="4" t="str">
        <f>_xlfn.IFNA(VLOOKUP(Table2[[#This Row],[tee time4]],'6-6-6 - groups'!$A$3:$F$20,4,FALSE),"")</f>
        <v/>
      </c>
      <c r="Z57" s="13" t="str">
        <f>_xlfn.IFNA(VLOOKUP(Table2[[#This Row],[tee time4]],'6-6-6 - groups'!$A$3:$F$20,5,FALSE),"")</f>
        <v/>
      </c>
      <c r="AA57" s="69" t="str">
        <f>IF(Table2[[#This Row],[avg gap]]&lt;&gt;"",IFERROR((MAX(starting_interval,IF(Table2[[#This Row],[gap4]]="NA",Table2[[#This Row],[avg gap]],Table2[[#This Row],[gap4]]))-starting_interval)*Table2[[#This Row],[followers4]]/Table2[[#This Row],[group size4]],""),"")</f>
        <v/>
      </c>
      <c r="AB57" s="32" t="str">
        <f>_xlfn.IFNA(VLOOKUP(Table2[[#This Row],[Name]],'Fall FD - players'!$A$2:$B$65,2,FALSE),"")</f>
        <v/>
      </c>
      <c r="AC57" s="59" t="str">
        <f>IF(Table2[[#This Row],[tee time5]]&lt;&gt;"",COUNTIF('Fall FD - players'!$B$2:$B$65,"="&amp;Table2[[#This Row],[tee time5]]),"")</f>
        <v/>
      </c>
      <c r="AD57" s="59" t="str">
        <f>_xlfn.IFNA(VLOOKUP(Table2[[#This Row],[tee time5]],'Fall FD - groups'!$A$3:$F$20,6,FALSE),"")</f>
        <v/>
      </c>
      <c r="AE57" s="4" t="str">
        <f>_xlfn.IFNA(VLOOKUP(Table2[[#This Row],[tee time5]],'Fall FD - groups'!$A$3:$F$20,4,FALSE),"")</f>
        <v/>
      </c>
      <c r="AF57" s="13" t="str">
        <f>IFERROR(MIN(_xlfn.IFNA(VLOOKUP(Table2[[#This Row],[tee time5]],'Fall FD - groups'!$A$3:$F$20,5,FALSE),""),starting_interval + Table2[[#This Row],[round5]] - standard_round_time),"")</f>
        <v/>
      </c>
      <c r="AG57" s="69" t="str">
        <f>IF(AND(Table2[[#This Row],[gap5]]="NA",Table2[[#This Row],[round5]]&lt;4/24),0,IFERROR((MAX(starting_interval,IF(Table2[[#This Row],[gap5]]="NA",Table2[[#This Row],[avg gap]],Table2[[#This Row],[gap5]]))-starting_interval)*Table2[[#This Row],[followers5]]/Table2[[#This Row],[group size5]],""))</f>
        <v/>
      </c>
      <c r="AH57" s="32" t="str">
        <f>_xlfn.IFNA(VLOOKUP(Table2[[#This Row],[Name]],'Stableford - players'!$A$2:$B$65,2,FALSE),"")</f>
        <v/>
      </c>
      <c r="AI57" s="59" t="str">
        <f>IF(Table2[[#This Row],[tee time6]]&lt;&gt;"",COUNTIF('Stableford - players'!$B$2:$B$65,"="&amp;Table2[[#This Row],[tee time6]]),"")</f>
        <v/>
      </c>
      <c r="AJ57" s="59" t="str">
        <f>_xlfn.IFNA(VLOOKUP(Table2[[#This Row],[tee time6]],'Stableford - groups'!$A$3:$F$20,6,FALSE),"")</f>
        <v/>
      </c>
      <c r="AK57" s="11" t="str">
        <f>_xlfn.IFNA(VLOOKUP(Table2[[#This Row],[tee time6]],'Stableford - groups'!$A$3:$F$20,4,FALSE),"")</f>
        <v/>
      </c>
      <c r="AL57" s="13" t="str">
        <f>_xlfn.IFNA(VLOOKUP(Table2[[#This Row],[tee time6]],'Stableford - groups'!$A$3:$F$20,5,FALSE),"")</f>
        <v/>
      </c>
      <c r="AM57" s="68" t="str">
        <f>IF(AND(Table2[[#This Row],[gap6]]="NA",Table2[[#This Row],[round6]]&lt;4/24),0,IFERROR((MAX(starting_interval,IF(Table2[[#This Row],[gap6]]="NA",Table2[[#This Row],[avg gap]],Table2[[#This Row],[gap6]]))-starting_interval)*Table2[[#This Row],[followers6]]/Table2[[#This Row],[group size6]],""))</f>
        <v/>
      </c>
      <c r="AN57" s="32" t="str">
        <f>_xlfn.IFNA(VLOOKUP(Table2[[#This Row],[Name]],'Turkey Shoot - players'!$A$2:$B$65,2,FALSE),"")</f>
        <v/>
      </c>
      <c r="AO57" s="59" t="str">
        <f>IF(Table2[[#This Row],[tee time7]]&lt;&gt;"",COUNTIF('Turkey Shoot - players'!$B$2:$B$65,"="&amp;Table2[[#This Row],[tee time7]]),"")</f>
        <v/>
      </c>
      <c r="AP57" s="59" t="str">
        <f>_xlfn.IFNA(VLOOKUP(Table2[[#This Row],[tee time7]],'Stableford - groups'!$A$3:$F$20,6,FALSE),"")</f>
        <v/>
      </c>
      <c r="AQ57" s="11" t="str">
        <f>_xlfn.IFNA(VLOOKUP(Table2[[#This Row],[tee time7]],'Turkey Shoot - groups'!$A$3:$F$20,4,FALSE),"")</f>
        <v/>
      </c>
      <c r="AR57" s="13" t="str">
        <f>_xlfn.IFNA(VLOOKUP(Table2[[#This Row],[tee time7]],'Turkey Shoot - groups'!$A$3:$F$20,5,FALSE),"")</f>
        <v/>
      </c>
      <c r="AS57" s="68" t="str">
        <f>IF(AND(Table2[[#This Row],[gap7]]="NA",Table2[[#This Row],[round7]]&lt;4/24),0,IFERROR((MAX(starting_interval,IF(Table2[[#This Row],[gap7]]="NA",Table2[[#This Row],[avg gap]],Table2[[#This Row],[gap7]]))-starting_interval)*Table2[[#This Row],[followers7]]/Table2[[#This Row],[group size7]],""))</f>
        <v/>
      </c>
      <c r="AT57" s="72">
        <f>COUNT(Table2[[#This Row],[Tee time1]],Table2[[#This Row],[tee time2]],Table2[[#This Row],[tee time3]],Table2[[#This Row],[tee time4]],Table2[[#This Row],[tee time5]],Table2[[#This Row],[tee time6]],Table2[[#This Row],[tee time7]])</f>
        <v>1</v>
      </c>
      <c r="AU57" s="4">
        <f>IFERROR(AVERAGE(Table2[[#This Row],[Tee time1]],Table2[[#This Row],[tee time2]],Table2[[#This Row],[tee time3]],Table2[[#This Row],[tee time4]],Table2[[#This Row],[tee time5]],Table2[[#This Row],[tee time6]],Table2[[#This Row],[tee time7]]),"")</f>
        <v>0.37083333333333335</v>
      </c>
      <c r="AV57" s="11">
        <f>IFERROR(MEDIAN(Table2[[#This Row],[round1]],Table2[[#This Row],[Round2]],Table2[[#This Row],[round3]],Table2[[#This Row],[round4]],Table2[[#This Row],[round5]],Table2[[#This Row],[round6]],Table2[[#This Row],[round7]]),"")</f>
        <v>0.2</v>
      </c>
      <c r="AW57" s="11">
        <f>IFERROR(AVERAGE(Table2[[#This Row],[gap1]],Table2[[#This Row],[gap2]],Table2[[#This Row],[gap3]],Table2[[#This Row],[gap4]],Table2[[#This Row],[gap5]],Table2[[#This Row],[gap6]],Table2[[#This Row],[gap7]]),"")</f>
        <v>9.0277777777777457E-3</v>
      </c>
      <c r="AX57" s="9">
        <f>IFERROR((Table2[[#This Row],[avg gap]]-starting_interval)*24*60*Table2[[#This Row],[Count]],"NA")</f>
        <v>2.9999999999999543</v>
      </c>
      <c r="AY5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3.055555555555509E-2</v>
      </c>
      <c r="AZ57" s="2"/>
    </row>
    <row r="58" spans="1:52" x14ac:dyDescent="0.3">
      <c r="A58" s="10" t="s">
        <v>71</v>
      </c>
      <c r="B58" s="1" t="s">
        <v>310</v>
      </c>
      <c r="C58" s="19">
        <v>9.1</v>
      </c>
      <c r="D58" s="32">
        <f>_xlfn.IFNA(VLOOKUP(Table2[[#This Row],[Name]],'Classic day 1 - players'!$A$2:$B$64,2,FALSE),"")</f>
        <v>0.37083333333333335</v>
      </c>
      <c r="E58" s="33">
        <f>IF(Table2[[#This Row],[Tee time1]]&lt;&gt;"",COUNTIF('Classic day 1 - players'!$B$2:$B$64,"="&amp;Table2[[#This Row],[Tee time1]]),"")</f>
        <v>3</v>
      </c>
      <c r="F58" s="33">
        <f>_xlfn.IFNA(VLOOKUP(Table2[[#This Row],[Tee time1]],'Classic day 1 - groups'!$A$3:$F$20,6,FALSE),"")</f>
        <v>44</v>
      </c>
      <c r="G58" s="11">
        <f>_xlfn.IFNA(VLOOKUP(Table2[[#This Row],[Tee time1]],'Classic day 1 - groups'!$A$3:$F$20,4,FALSE),"")</f>
        <v>0.2</v>
      </c>
      <c r="H58" s="12">
        <f>_xlfn.IFNA(VLOOKUP(Table2[[#This Row],[Tee time1]],'Classic day 1 - groups'!$A$3:$F$20,5,FALSE),"")</f>
        <v>9.0277777777777457E-3</v>
      </c>
      <c r="I58" s="69">
        <f>IFERROR((MAX(starting_interval,IF(Table2[[#This Row],[gap1]]="NA",Table2[[#This Row],[avg gap]],Table2[[#This Row],[gap1]]))-starting_interval)*Table2[[#This Row],[followers1]]/Table2[[#This Row],[group size]],"")</f>
        <v>3.055555555555509E-2</v>
      </c>
      <c r="J58" s="32">
        <f>_xlfn.IFNA(VLOOKUP(Table2[[#This Row],[Name]],'Classic day 2 - players'!$A$2:$B$64,2,FALSE),"")</f>
        <v>0.37083333333333335</v>
      </c>
      <c r="K58" s="33">
        <f>IF(Table2[[#This Row],[tee time2]]&lt;&gt;"",COUNTIF('Classic day 2 - players'!$B$2:$B$64,"="&amp;Table2[[#This Row],[tee time2]]),"")</f>
        <v>4</v>
      </c>
      <c r="L58" s="33">
        <f>_xlfn.IFNA(VLOOKUP(Table2[[#This Row],[tee time2]],'Classic day 2 - groups'!$A$3:$F$20,6,FALSE),"")</f>
        <v>28</v>
      </c>
      <c r="M58" s="4">
        <f>_xlfn.IFNA(VLOOKUP(Table2[[#This Row],[tee time2]],'Classic day 2 - groups'!$A$3:$F$20,4,FALSE),"")</f>
        <v>0.18819444444444444</v>
      </c>
      <c r="N58" s="65">
        <f>_xlfn.IFNA(VLOOKUP(Table2[[#This Row],[tee time2]],'Classic day 2 - groups'!$A$3:$F$20,5,FALSE),"")</f>
        <v>6.2499999999999995E-3</v>
      </c>
      <c r="O58" s="69">
        <f>IFERROR((MAX(starting_interval,IF(Table2[[#This Row],[gap2]]="NA",Table2[[#This Row],[avg gap]],Table2[[#This Row],[gap2]]))-starting_interval)*Table2[[#This Row],[followers2]]/Table2[[#This Row],[group size2]],"")</f>
        <v>0</v>
      </c>
      <c r="P58" s="32" t="str">
        <f>_xlfn.IFNA(VLOOKUP(Table2[[#This Row],[Name]],'Summer FD - players'!$A$2:$B$65,2,FALSE),"")</f>
        <v/>
      </c>
      <c r="Q58" s="59" t="str">
        <f>IF(Table2[[#This Row],[tee time3]]&lt;&gt;"",COUNTIF('Summer FD - players'!$B$2:$B$65,"="&amp;Table2[[#This Row],[tee time3]]),"")</f>
        <v/>
      </c>
      <c r="R58" s="59" t="str">
        <f>_xlfn.IFNA(VLOOKUP(Table2[[#This Row],[tee time3]],'Summer FD - groups'!$A$3:$F$20,6,FALSE),"")</f>
        <v/>
      </c>
      <c r="S58" s="4" t="str">
        <f>_xlfn.IFNA(VLOOKUP(Table2[[#This Row],[tee time3]],'Summer FD - groups'!$A$3:$F$20,4,FALSE),"")</f>
        <v/>
      </c>
      <c r="T58" s="13" t="str">
        <f>_xlfn.IFNA(VLOOKUP(Table2[[#This Row],[tee time3]],'Summer FD - groups'!$A$3:$F$20,5,FALSE),"")</f>
        <v/>
      </c>
      <c r="U58" s="69" t="str">
        <f>IF(Table2[[#This Row],[avg gap]]&lt;&gt;"",IFERROR((MAX(starting_interval,IF(Table2[[#This Row],[gap3]]="NA",Table2[[#This Row],[avg gap]],Table2[[#This Row],[gap3]]))-starting_interval)*Table2[[#This Row],[followers3]]/Table2[[#This Row],[group size3]],""),"")</f>
        <v/>
      </c>
      <c r="V58" s="32" t="str">
        <f>_xlfn.IFNA(VLOOKUP(Table2[[#This Row],[Name]],'6-6-6 - players'!$A$2:$B$69,2,FALSE),"")</f>
        <v/>
      </c>
      <c r="W58" s="59" t="str">
        <f>IF(Table2[[#This Row],[tee time4]]&lt;&gt;"",COUNTIF('6-6-6 - players'!$B$2:$B$69,"="&amp;Table2[[#This Row],[tee time4]]),"")</f>
        <v/>
      </c>
      <c r="X58" s="59" t="str">
        <f>_xlfn.IFNA(VLOOKUP(Table2[[#This Row],[tee time4]],'6-6-6 - groups'!$A$3:$F$20,6,FALSE),"")</f>
        <v/>
      </c>
      <c r="Y58" s="4" t="str">
        <f>_xlfn.IFNA(VLOOKUP(Table2[[#This Row],[tee time4]],'6-6-6 - groups'!$A$3:$F$20,4,FALSE),"")</f>
        <v/>
      </c>
      <c r="Z58" s="13" t="str">
        <f>_xlfn.IFNA(VLOOKUP(Table2[[#This Row],[tee time4]],'6-6-6 - groups'!$A$3:$F$20,5,FALSE),"")</f>
        <v/>
      </c>
      <c r="AA58" s="69" t="str">
        <f>IF(Table2[[#This Row],[avg gap]]&lt;&gt;"",IFERROR((MAX(starting_interval,IF(Table2[[#This Row],[gap4]]="NA",Table2[[#This Row],[avg gap]],Table2[[#This Row],[gap4]]))-starting_interval)*Table2[[#This Row],[followers4]]/Table2[[#This Row],[group size4]],""),"")</f>
        <v/>
      </c>
      <c r="AB58" s="32" t="str">
        <f>_xlfn.IFNA(VLOOKUP(Table2[[#This Row],[Name]],'Fall FD - players'!$A$2:$B$65,2,FALSE),"")</f>
        <v/>
      </c>
      <c r="AC58" s="59" t="str">
        <f>IF(Table2[[#This Row],[tee time5]]&lt;&gt;"",COUNTIF('Fall FD - players'!$B$2:$B$65,"="&amp;Table2[[#This Row],[tee time5]]),"")</f>
        <v/>
      </c>
      <c r="AD58" s="59" t="str">
        <f>_xlfn.IFNA(VLOOKUP(Table2[[#This Row],[tee time5]],'Fall FD - groups'!$A$3:$F$20,6,FALSE),"")</f>
        <v/>
      </c>
      <c r="AE58" s="4" t="str">
        <f>_xlfn.IFNA(VLOOKUP(Table2[[#This Row],[tee time5]],'Fall FD - groups'!$A$3:$F$20,4,FALSE),"")</f>
        <v/>
      </c>
      <c r="AF58" s="13" t="str">
        <f>IFERROR(MIN(_xlfn.IFNA(VLOOKUP(Table2[[#This Row],[tee time5]],'Fall FD - groups'!$A$3:$F$20,5,FALSE),""),starting_interval + Table2[[#This Row],[round5]] - standard_round_time),"")</f>
        <v/>
      </c>
      <c r="AG58" s="69" t="str">
        <f>IF(AND(Table2[[#This Row],[gap5]]="NA",Table2[[#This Row],[round5]]&lt;4/24),0,IFERROR((MAX(starting_interval,IF(Table2[[#This Row],[gap5]]="NA",Table2[[#This Row],[avg gap]],Table2[[#This Row],[gap5]]))-starting_interval)*Table2[[#This Row],[followers5]]/Table2[[#This Row],[group size5]],""))</f>
        <v/>
      </c>
      <c r="AH58" s="32" t="str">
        <f>_xlfn.IFNA(VLOOKUP(Table2[[#This Row],[Name]],'Stableford - players'!$A$2:$B$65,2,FALSE),"")</f>
        <v/>
      </c>
      <c r="AI58" s="59" t="str">
        <f>IF(Table2[[#This Row],[tee time6]]&lt;&gt;"",COUNTIF('Stableford - players'!$B$2:$B$65,"="&amp;Table2[[#This Row],[tee time6]]),"")</f>
        <v/>
      </c>
      <c r="AJ58" s="59" t="str">
        <f>_xlfn.IFNA(VLOOKUP(Table2[[#This Row],[tee time6]],'Stableford - groups'!$A$3:$F$20,6,FALSE),"")</f>
        <v/>
      </c>
      <c r="AK58" s="11" t="str">
        <f>_xlfn.IFNA(VLOOKUP(Table2[[#This Row],[tee time6]],'Stableford - groups'!$A$3:$F$20,4,FALSE),"")</f>
        <v/>
      </c>
      <c r="AL58" s="13" t="str">
        <f>_xlfn.IFNA(VLOOKUP(Table2[[#This Row],[tee time6]],'Stableford - groups'!$A$3:$F$20,5,FALSE),"")</f>
        <v/>
      </c>
      <c r="AM58" s="68" t="str">
        <f>IF(AND(Table2[[#This Row],[gap6]]="NA",Table2[[#This Row],[round6]]&lt;4/24),0,IFERROR((MAX(starting_interval,IF(Table2[[#This Row],[gap6]]="NA",Table2[[#This Row],[avg gap]],Table2[[#This Row],[gap6]]))-starting_interval)*Table2[[#This Row],[followers6]]/Table2[[#This Row],[group size6]],""))</f>
        <v/>
      </c>
      <c r="AN58" s="32" t="str">
        <f>_xlfn.IFNA(VLOOKUP(Table2[[#This Row],[Name]],'Turkey Shoot - players'!$A$2:$B$65,2,FALSE),"")</f>
        <v/>
      </c>
      <c r="AO58" s="59" t="str">
        <f>IF(Table2[[#This Row],[tee time7]]&lt;&gt;"",COUNTIF('Turkey Shoot - players'!$B$2:$B$65,"="&amp;Table2[[#This Row],[tee time7]]),"")</f>
        <v/>
      </c>
      <c r="AP58" s="59" t="str">
        <f>_xlfn.IFNA(VLOOKUP(Table2[[#This Row],[tee time7]],'Stableford - groups'!$A$3:$F$20,6,FALSE),"")</f>
        <v/>
      </c>
      <c r="AQ58" s="11" t="str">
        <f>_xlfn.IFNA(VLOOKUP(Table2[[#This Row],[tee time7]],'Turkey Shoot - groups'!$A$3:$F$20,4,FALSE),"")</f>
        <v/>
      </c>
      <c r="AR58" s="13" t="str">
        <f>_xlfn.IFNA(VLOOKUP(Table2[[#This Row],[tee time7]],'Turkey Shoot - groups'!$A$3:$F$20,5,FALSE),"")</f>
        <v/>
      </c>
      <c r="AS58" s="68" t="str">
        <f>IF(AND(Table2[[#This Row],[gap7]]="NA",Table2[[#This Row],[round7]]&lt;4/24),0,IFERROR((MAX(starting_interval,IF(Table2[[#This Row],[gap7]]="NA",Table2[[#This Row],[avg gap]],Table2[[#This Row],[gap7]]))-starting_interval)*Table2[[#This Row],[followers7]]/Table2[[#This Row],[group size7]],""))</f>
        <v/>
      </c>
      <c r="AT58" s="72">
        <f>COUNT(Table2[[#This Row],[Tee time1]],Table2[[#This Row],[tee time2]],Table2[[#This Row],[tee time3]],Table2[[#This Row],[tee time4]],Table2[[#This Row],[tee time5]],Table2[[#This Row],[tee time6]],Table2[[#This Row],[tee time7]])</f>
        <v>2</v>
      </c>
      <c r="AU58" s="4">
        <f>IFERROR(AVERAGE(Table2[[#This Row],[Tee time1]],Table2[[#This Row],[tee time2]],Table2[[#This Row],[tee time3]],Table2[[#This Row],[tee time4]],Table2[[#This Row],[tee time5]],Table2[[#This Row],[tee time6]],Table2[[#This Row],[tee time7]]),"")</f>
        <v>0.37083333333333335</v>
      </c>
      <c r="AV58" s="11">
        <f>IFERROR(MEDIAN(Table2[[#This Row],[round1]],Table2[[#This Row],[Round2]],Table2[[#This Row],[round3]],Table2[[#This Row],[round4]],Table2[[#This Row],[round5]],Table2[[#This Row],[round6]],Table2[[#This Row],[round7]]),"")</f>
        <v>0.19409722222222223</v>
      </c>
      <c r="AW58" s="11">
        <f>IFERROR(AVERAGE(Table2[[#This Row],[gap1]],Table2[[#This Row],[gap2]],Table2[[#This Row],[gap3]],Table2[[#This Row],[gap4]],Table2[[#This Row],[gap5]],Table2[[#This Row],[gap6]],Table2[[#This Row],[gap7]]),"")</f>
        <v>7.6388888888888722E-3</v>
      </c>
      <c r="AX58" s="9">
        <f>IFERROR((Table2[[#This Row],[avg gap]]-starting_interval)*24*60*Table2[[#This Row],[Count]],"NA")</f>
        <v>1.9999999999999529</v>
      </c>
      <c r="AY5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3.055555555555509E-2</v>
      </c>
      <c r="AZ58" s="2"/>
    </row>
    <row r="59" spans="1:52" x14ac:dyDescent="0.3">
      <c r="A59" s="10" t="s">
        <v>210</v>
      </c>
      <c r="B59" s="1" t="s">
        <v>451</v>
      </c>
      <c r="C59" s="19">
        <v>20.2</v>
      </c>
      <c r="D59" s="32">
        <f>_xlfn.IFNA(VLOOKUP(Table2[[#This Row],[Name]],'Classic day 1 - players'!$A$2:$B$64,2,FALSE),"")</f>
        <v>0.37083333333333335</v>
      </c>
      <c r="E59" s="33">
        <f>IF(Table2[[#This Row],[Tee time1]]&lt;&gt;"",COUNTIF('Classic day 1 - players'!$B$2:$B$64,"="&amp;Table2[[#This Row],[Tee time1]]),"")</f>
        <v>3</v>
      </c>
      <c r="F59" s="33">
        <f>_xlfn.IFNA(VLOOKUP(Table2[[#This Row],[Tee time1]],'Classic day 1 - groups'!$A$3:$F$20,6,FALSE),"")</f>
        <v>44</v>
      </c>
      <c r="G59" s="11">
        <f>_xlfn.IFNA(VLOOKUP(Table2[[#This Row],[Tee time1]],'Classic day 1 - groups'!$A$3:$F$20,4,FALSE),"")</f>
        <v>0.2</v>
      </c>
      <c r="H59" s="12">
        <f>_xlfn.IFNA(VLOOKUP(Table2[[#This Row],[Tee time1]],'Classic day 1 - groups'!$A$3:$F$20,5,FALSE),"")</f>
        <v>9.0277777777777457E-3</v>
      </c>
      <c r="I59" s="69">
        <f>IFERROR((MAX(starting_interval,IF(Table2[[#This Row],[gap1]]="NA",Table2[[#This Row],[avg gap]],Table2[[#This Row],[gap1]]))-starting_interval)*Table2[[#This Row],[followers1]]/Table2[[#This Row],[group size]],"")</f>
        <v>3.055555555555509E-2</v>
      </c>
      <c r="J59" s="32">
        <f>_xlfn.IFNA(VLOOKUP(Table2[[#This Row],[Name]],'Classic day 2 - players'!$A$2:$B$64,2,FALSE),"")</f>
        <v>0.37083333333333335</v>
      </c>
      <c r="K59" s="33">
        <f>IF(Table2[[#This Row],[tee time2]]&lt;&gt;"",COUNTIF('Classic day 2 - players'!$B$2:$B$64,"="&amp;Table2[[#This Row],[tee time2]]),"")</f>
        <v>4</v>
      </c>
      <c r="L59" s="33">
        <f>_xlfn.IFNA(VLOOKUP(Table2[[#This Row],[tee time2]],'Classic day 2 - groups'!$A$3:$F$20,6,FALSE),"")</f>
        <v>28</v>
      </c>
      <c r="M59" s="4">
        <f>_xlfn.IFNA(VLOOKUP(Table2[[#This Row],[tee time2]],'Classic day 2 - groups'!$A$3:$F$20,4,FALSE),"")</f>
        <v>0.18819444444444444</v>
      </c>
      <c r="N59" s="65">
        <f>_xlfn.IFNA(VLOOKUP(Table2[[#This Row],[tee time2]],'Classic day 2 - groups'!$A$3:$F$20,5,FALSE),"")</f>
        <v>6.2499999999999995E-3</v>
      </c>
      <c r="O59" s="69">
        <f>IFERROR((MAX(starting_interval,IF(Table2[[#This Row],[gap2]]="NA",Table2[[#This Row],[avg gap]],Table2[[#This Row],[gap2]]))-starting_interval)*Table2[[#This Row],[followers2]]/Table2[[#This Row],[group size2]],"")</f>
        <v>0</v>
      </c>
      <c r="P59" s="32">
        <f>_xlfn.IFNA(VLOOKUP(Table2[[#This Row],[Name]],'Summer FD - players'!$A$2:$B$65,2,FALSE),"")</f>
        <v>0.36388888888888887</v>
      </c>
      <c r="Q59" s="59">
        <f>IF(Table2[[#This Row],[tee time3]]&lt;&gt;"",COUNTIF('Summer FD - players'!$B$2:$B$65,"="&amp;Table2[[#This Row],[tee time3]]),"")</f>
        <v>2</v>
      </c>
      <c r="R59" s="59">
        <f>_xlfn.IFNA(VLOOKUP(Table2[[#This Row],[tee time3]],'Summer FD - groups'!$A$3:$F$20,6,FALSE),"")</f>
        <v>44</v>
      </c>
      <c r="S59" s="4">
        <f>_xlfn.IFNA(VLOOKUP(Table2[[#This Row],[tee time3]],'Summer FD - groups'!$A$3:$F$20,4,FALSE),"")</f>
        <v>0.18819444444444439</v>
      </c>
      <c r="T59" s="13">
        <f>_xlfn.IFNA(VLOOKUP(Table2[[#This Row],[tee time3]],'Summer FD - groups'!$A$3:$F$20,5,FALSE),"")</f>
        <v>5.5555555555555358E-3</v>
      </c>
      <c r="U59" s="69">
        <f>IF(Table2[[#This Row],[avg gap]]&lt;&gt;"",IFERROR((MAX(starting_interval,IF(Table2[[#This Row],[gap3]]="NA",Table2[[#This Row],[avg gap]],Table2[[#This Row],[gap3]]))-starting_interval)*Table2[[#This Row],[followers3]]/Table2[[#This Row],[group size3]],""),"")</f>
        <v>0</v>
      </c>
      <c r="V59" s="32" t="str">
        <f>_xlfn.IFNA(VLOOKUP(Table2[[#This Row],[Name]],'6-6-6 - players'!$A$2:$B$69,2,FALSE),"")</f>
        <v/>
      </c>
      <c r="W59" s="59" t="str">
        <f>IF(Table2[[#This Row],[tee time4]]&lt;&gt;"",COUNTIF('6-6-6 - players'!$B$2:$B$69,"="&amp;Table2[[#This Row],[tee time4]]),"")</f>
        <v/>
      </c>
      <c r="X59" s="59" t="str">
        <f>_xlfn.IFNA(VLOOKUP(Table2[[#This Row],[tee time4]],'6-6-6 - groups'!$A$3:$F$20,6,FALSE),"")</f>
        <v/>
      </c>
      <c r="Y59" s="4" t="str">
        <f>_xlfn.IFNA(VLOOKUP(Table2[[#This Row],[tee time4]],'6-6-6 - groups'!$A$3:$F$20,4,FALSE),"")</f>
        <v/>
      </c>
      <c r="Z59" s="13" t="str">
        <f>_xlfn.IFNA(VLOOKUP(Table2[[#This Row],[tee time4]],'6-6-6 - groups'!$A$3:$F$20,5,FALSE),"")</f>
        <v/>
      </c>
      <c r="AA59" s="69" t="str">
        <f>IF(Table2[[#This Row],[avg gap]]&lt;&gt;"",IFERROR((MAX(starting_interval,IF(Table2[[#This Row],[gap4]]="NA",Table2[[#This Row],[avg gap]],Table2[[#This Row],[gap4]]))-starting_interval)*Table2[[#This Row],[followers4]]/Table2[[#This Row],[group size4]],""),"")</f>
        <v/>
      </c>
      <c r="AB59" s="32" t="str">
        <f>_xlfn.IFNA(VLOOKUP(Table2[[#This Row],[Name]],'Fall FD - players'!$A$2:$B$65,2,FALSE),"")</f>
        <v/>
      </c>
      <c r="AC59" s="59" t="str">
        <f>IF(Table2[[#This Row],[tee time5]]&lt;&gt;"",COUNTIF('Fall FD - players'!$B$2:$B$65,"="&amp;Table2[[#This Row],[tee time5]]),"")</f>
        <v/>
      </c>
      <c r="AD59" s="59" t="str">
        <f>_xlfn.IFNA(VLOOKUP(Table2[[#This Row],[tee time5]],'Fall FD - groups'!$A$3:$F$20,6,FALSE),"")</f>
        <v/>
      </c>
      <c r="AE59" s="4" t="str">
        <f>_xlfn.IFNA(VLOOKUP(Table2[[#This Row],[tee time5]],'Fall FD - groups'!$A$3:$F$20,4,FALSE),"")</f>
        <v/>
      </c>
      <c r="AF59" s="13" t="str">
        <f>IFERROR(MIN(_xlfn.IFNA(VLOOKUP(Table2[[#This Row],[tee time5]],'Fall FD - groups'!$A$3:$F$20,5,FALSE),""),starting_interval + Table2[[#This Row],[round5]] - standard_round_time),"")</f>
        <v/>
      </c>
      <c r="AG59" s="69" t="str">
        <f>IF(AND(Table2[[#This Row],[gap5]]="NA",Table2[[#This Row],[round5]]&lt;4/24),0,IFERROR((MAX(starting_interval,IF(Table2[[#This Row],[gap5]]="NA",Table2[[#This Row],[avg gap]],Table2[[#This Row],[gap5]]))-starting_interval)*Table2[[#This Row],[followers5]]/Table2[[#This Row],[group size5]],""))</f>
        <v/>
      </c>
      <c r="AH59" s="32" t="str">
        <f>_xlfn.IFNA(VLOOKUP(Table2[[#This Row],[Name]],'Stableford - players'!$A$2:$B$65,2,FALSE),"")</f>
        <v/>
      </c>
      <c r="AI59" s="59" t="str">
        <f>IF(Table2[[#This Row],[tee time6]]&lt;&gt;"",COUNTIF('Stableford - players'!$B$2:$B$65,"="&amp;Table2[[#This Row],[tee time6]]),"")</f>
        <v/>
      </c>
      <c r="AJ59" s="59" t="str">
        <f>_xlfn.IFNA(VLOOKUP(Table2[[#This Row],[tee time6]],'Stableford - groups'!$A$3:$F$20,6,FALSE),"")</f>
        <v/>
      </c>
      <c r="AK59" s="11" t="str">
        <f>_xlfn.IFNA(VLOOKUP(Table2[[#This Row],[tee time6]],'Stableford - groups'!$A$3:$F$20,4,FALSE),"")</f>
        <v/>
      </c>
      <c r="AL59" s="13" t="str">
        <f>_xlfn.IFNA(VLOOKUP(Table2[[#This Row],[tee time6]],'Stableford - groups'!$A$3:$F$20,5,FALSE),"")</f>
        <v/>
      </c>
      <c r="AM59" s="68" t="str">
        <f>IF(AND(Table2[[#This Row],[gap6]]="NA",Table2[[#This Row],[round6]]&lt;4/24),0,IFERROR((MAX(starting_interval,IF(Table2[[#This Row],[gap6]]="NA",Table2[[#This Row],[avg gap]],Table2[[#This Row],[gap6]]))-starting_interval)*Table2[[#This Row],[followers6]]/Table2[[#This Row],[group size6]],""))</f>
        <v/>
      </c>
      <c r="AN59" s="32" t="str">
        <f>_xlfn.IFNA(VLOOKUP(Table2[[#This Row],[Name]],'Turkey Shoot - players'!$A$2:$B$65,2,FALSE),"")</f>
        <v/>
      </c>
      <c r="AO59" s="59" t="str">
        <f>IF(Table2[[#This Row],[tee time7]]&lt;&gt;"",COUNTIF('Turkey Shoot - players'!$B$2:$B$65,"="&amp;Table2[[#This Row],[tee time7]]),"")</f>
        <v/>
      </c>
      <c r="AP59" s="59" t="str">
        <f>_xlfn.IFNA(VLOOKUP(Table2[[#This Row],[tee time7]],'Stableford - groups'!$A$3:$F$20,6,FALSE),"")</f>
        <v/>
      </c>
      <c r="AQ59" s="11" t="str">
        <f>_xlfn.IFNA(VLOOKUP(Table2[[#This Row],[tee time7]],'Turkey Shoot - groups'!$A$3:$F$20,4,FALSE),"")</f>
        <v/>
      </c>
      <c r="AR59" s="13" t="str">
        <f>_xlfn.IFNA(VLOOKUP(Table2[[#This Row],[tee time7]],'Turkey Shoot - groups'!$A$3:$F$20,5,FALSE),"")</f>
        <v/>
      </c>
      <c r="AS59" s="68" t="str">
        <f>IF(AND(Table2[[#This Row],[gap7]]="NA",Table2[[#This Row],[round7]]&lt;4/24),0,IFERROR((MAX(starting_interval,IF(Table2[[#This Row],[gap7]]="NA",Table2[[#This Row],[avg gap]],Table2[[#This Row],[gap7]]))-starting_interval)*Table2[[#This Row],[followers7]]/Table2[[#This Row],[group size7]],""))</f>
        <v/>
      </c>
      <c r="AT59" s="72">
        <f>COUNT(Table2[[#This Row],[Tee time1]],Table2[[#This Row],[tee time2]],Table2[[#This Row],[tee time3]],Table2[[#This Row],[tee time4]],Table2[[#This Row],[tee time5]],Table2[[#This Row],[tee time6]],Table2[[#This Row],[tee time7]])</f>
        <v>3</v>
      </c>
      <c r="AU59" s="4">
        <f>IFERROR(AVERAGE(Table2[[#This Row],[Tee time1]],Table2[[#This Row],[tee time2]],Table2[[#This Row],[tee time3]],Table2[[#This Row],[tee time4]],Table2[[#This Row],[tee time5]],Table2[[#This Row],[tee time6]],Table2[[#This Row],[tee time7]]),"")</f>
        <v>0.36851851851851852</v>
      </c>
      <c r="AV59" s="11">
        <f>IFERROR(MEDIAN(Table2[[#This Row],[round1]],Table2[[#This Row],[Round2]],Table2[[#This Row],[round3]],Table2[[#This Row],[round4]],Table2[[#This Row],[round5]],Table2[[#This Row],[round6]],Table2[[#This Row],[round7]]),"")</f>
        <v>0.18819444444444444</v>
      </c>
      <c r="AW59" s="11">
        <f>IFERROR(AVERAGE(Table2[[#This Row],[gap1]],Table2[[#This Row],[gap2]],Table2[[#This Row],[gap3]],Table2[[#This Row],[gap4]],Table2[[#This Row],[gap5]],Table2[[#This Row],[gap6]],Table2[[#This Row],[gap7]]),"")</f>
        <v>6.9444444444444267E-3</v>
      </c>
      <c r="AX59" s="9">
        <f>IFERROR((Table2[[#This Row],[avg gap]]-starting_interval)*24*60*Table2[[#This Row],[Count]],"NA")</f>
        <v>-7.4940054162198066E-14</v>
      </c>
      <c r="AY5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3.055555555555509E-2</v>
      </c>
      <c r="AZ59" s="2"/>
    </row>
    <row r="60" spans="1:52" x14ac:dyDescent="0.3">
      <c r="A60" s="10" t="s">
        <v>109</v>
      </c>
      <c r="B60" s="1" t="s">
        <v>349</v>
      </c>
      <c r="C60" s="19">
        <v>33.200000000000003</v>
      </c>
      <c r="D60" s="32" t="str">
        <f>_xlfn.IFNA(VLOOKUP(Table2[[#This Row],[Name]],'Classic day 1 - players'!$A$2:$B$64,2,FALSE),"")</f>
        <v/>
      </c>
      <c r="E60" s="33" t="str">
        <f>IF(Table2[[#This Row],[Tee time1]]&lt;&gt;"",COUNTIF('Classic day 1 - players'!$B$2:$B$64,"="&amp;Table2[[#This Row],[Tee time1]]),"")</f>
        <v/>
      </c>
      <c r="F60" s="4" t="str">
        <f>_xlfn.IFNA(VLOOKUP(Table2[[#This Row],[Tee time1]],'Classic day 1 - groups'!$A$3:$F$20,6,FALSE),"")</f>
        <v/>
      </c>
      <c r="G60" s="11" t="str">
        <f>_xlfn.IFNA(VLOOKUP(Table2[[#This Row],[Tee time1]],'Classic day 1 - groups'!$A$3:$F$20,4,FALSE),"")</f>
        <v/>
      </c>
      <c r="H60" s="12" t="str">
        <f>_xlfn.IFNA(VLOOKUP(Table2[[#This Row],[Tee time1]],'Classic day 1 - groups'!$A$3:$F$20,5,FALSE),"")</f>
        <v/>
      </c>
      <c r="I60" s="69" t="str">
        <f>IFERROR((MAX(starting_interval,IF(Table2[[#This Row],[gap1]]="NA",Table2[[#This Row],[avg gap]],Table2[[#This Row],[gap1]]))-starting_interval)*Table2[[#This Row],[followers1]]/Table2[[#This Row],[group size]],"")</f>
        <v/>
      </c>
      <c r="J60" s="32" t="str">
        <f>_xlfn.IFNA(VLOOKUP(Table2[[#This Row],[Name]],'Classic day 2 - players'!$A$2:$B$64,2,FALSE),"")</f>
        <v/>
      </c>
      <c r="K60" s="4" t="str">
        <f>IF(Table2[[#This Row],[tee time2]]&lt;&gt;"",COUNTIF('Classic day 2 - players'!$B$2:$B$64,"="&amp;Table2[[#This Row],[tee time2]]),"")</f>
        <v/>
      </c>
      <c r="L60" s="4" t="str">
        <f>_xlfn.IFNA(VLOOKUP(Table2[[#This Row],[tee time2]],'Classic day 2 - groups'!$A$3:$F$20,6,FALSE),"")</f>
        <v/>
      </c>
      <c r="M60" s="4" t="str">
        <f>_xlfn.IFNA(VLOOKUP(Table2[[#This Row],[tee time2]],'Classic day 2 - groups'!$A$3:$F$20,4,FALSE),"")</f>
        <v/>
      </c>
      <c r="N60" s="65" t="str">
        <f>_xlfn.IFNA(VLOOKUP(Table2[[#This Row],[tee time2]],'Classic day 2 - groups'!$A$3:$F$20,5,FALSE),"")</f>
        <v/>
      </c>
      <c r="O60" s="69" t="str">
        <f>IFERROR((MAX(starting_interval,IF(Table2[[#This Row],[gap2]]="NA",Table2[[#This Row],[avg gap]],Table2[[#This Row],[gap2]]))-starting_interval)*Table2[[#This Row],[followers2]]/Table2[[#This Row],[group size2]],"")</f>
        <v/>
      </c>
      <c r="P60" s="32" t="str">
        <f>_xlfn.IFNA(VLOOKUP(Table2[[#This Row],[Name]],'Summer FD - players'!$A$2:$B$65,2,FALSE),"")</f>
        <v/>
      </c>
      <c r="Q60" s="59" t="str">
        <f>IF(Table2[[#This Row],[tee time3]]&lt;&gt;"",COUNTIF('Summer FD - players'!$B$2:$B$65,"="&amp;Table2[[#This Row],[tee time3]]),"")</f>
        <v/>
      </c>
      <c r="R60" s="59" t="str">
        <f>_xlfn.IFNA(VLOOKUP(Table2[[#This Row],[tee time3]],'Summer FD - groups'!$A$3:$F$20,6,FALSE),"")</f>
        <v/>
      </c>
      <c r="S60" s="4" t="str">
        <f>_xlfn.IFNA(VLOOKUP(Table2[[#This Row],[tee time3]],'Summer FD - groups'!$A$3:$F$20,4,FALSE),"")</f>
        <v/>
      </c>
      <c r="T60" s="13" t="str">
        <f>_xlfn.IFNA(VLOOKUP(Table2[[#This Row],[tee time3]],'Summer FD - groups'!$A$3:$F$20,5,FALSE),"")</f>
        <v/>
      </c>
      <c r="U60" s="69" t="str">
        <f>IF(Table2[[#This Row],[avg gap]]&lt;&gt;"",IFERROR((MAX(starting_interval,IF(Table2[[#This Row],[gap3]]="NA",Table2[[#This Row],[avg gap]],Table2[[#This Row],[gap3]]))-starting_interval)*Table2[[#This Row],[followers3]]/Table2[[#This Row],[group size3]],""),"")</f>
        <v/>
      </c>
      <c r="V60" s="32" t="str">
        <f>_xlfn.IFNA(VLOOKUP(Table2[[#This Row],[Name]],'6-6-6 - players'!$A$2:$B$69,2,FALSE),"")</f>
        <v/>
      </c>
      <c r="W60" s="59" t="str">
        <f>IF(Table2[[#This Row],[tee time4]]&lt;&gt;"",COUNTIF('6-6-6 - players'!$B$2:$B$69,"="&amp;Table2[[#This Row],[tee time4]]),"")</f>
        <v/>
      </c>
      <c r="X60" s="59" t="str">
        <f>_xlfn.IFNA(VLOOKUP(Table2[[#This Row],[tee time4]],'6-6-6 - groups'!$A$3:$F$20,6,FALSE),"")</f>
        <v/>
      </c>
      <c r="Y60" s="4" t="str">
        <f>_xlfn.IFNA(VLOOKUP(Table2[[#This Row],[tee time4]],'6-6-6 - groups'!$A$3:$F$20,4,FALSE),"")</f>
        <v/>
      </c>
      <c r="Z60" s="13" t="str">
        <f>_xlfn.IFNA(VLOOKUP(Table2[[#This Row],[tee time4]],'6-6-6 - groups'!$A$3:$F$20,5,FALSE),"")</f>
        <v/>
      </c>
      <c r="AA60" s="69" t="str">
        <f>IF(Table2[[#This Row],[avg gap]]&lt;&gt;"",IFERROR((MAX(starting_interval,IF(Table2[[#This Row],[gap4]]="NA",Table2[[#This Row],[avg gap]],Table2[[#This Row],[gap4]]))-starting_interval)*Table2[[#This Row],[followers4]]/Table2[[#This Row],[group size4]],""),"")</f>
        <v/>
      </c>
      <c r="AB60" s="32" t="str">
        <f>_xlfn.IFNA(VLOOKUP(Table2[[#This Row],[Name]],'Fall FD - players'!$A$2:$B$65,2,FALSE),"")</f>
        <v/>
      </c>
      <c r="AC60" s="59" t="str">
        <f>IF(Table2[[#This Row],[tee time5]]&lt;&gt;"",COUNTIF('Fall FD - players'!$B$2:$B$65,"="&amp;Table2[[#This Row],[tee time5]]),"")</f>
        <v/>
      </c>
      <c r="AD60" s="59" t="str">
        <f>_xlfn.IFNA(VLOOKUP(Table2[[#This Row],[tee time5]],'Fall FD - groups'!$A$3:$F$20,6,FALSE),"")</f>
        <v/>
      </c>
      <c r="AE60" s="4" t="str">
        <f>_xlfn.IFNA(VLOOKUP(Table2[[#This Row],[tee time5]],'Fall FD - groups'!$A$3:$F$20,4,FALSE),"")</f>
        <v/>
      </c>
      <c r="AF60" s="13" t="str">
        <f>IFERROR(MIN(_xlfn.IFNA(VLOOKUP(Table2[[#This Row],[tee time5]],'Fall FD - groups'!$A$3:$F$20,5,FALSE),""),starting_interval + Table2[[#This Row],[round5]] - standard_round_time),"")</f>
        <v/>
      </c>
      <c r="AG60" s="69" t="str">
        <f>IF(AND(Table2[[#This Row],[gap5]]="NA",Table2[[#This Row],[round5]]&lt;4/24),0,IFERROR((MAX(starting_interval,IF(Table2[[#This Row],[gap5]]="NA",Table2[[#This Row],[avg gap]],Table2[[#This Row],[gap5]]))-starting_interval)*Table2[[#This Row],[followers5]]/Table2[[#This Row],[group size5]],""))</f>
        <v/>
      </c>
      <c r="AH60" s="32">
        <f>_xlfn.IFNA(VLOOKUP(Table2[[#This Row],[Name]],'Stableford - players'!$A$2:$B$65,2,FALSE),"")</f>
        <v>0.34027777777777773</v>
      </c>
      <c r="AI60" s="59">
        <f>IF(Table2[[#This Row],[tee time6]]&lt;&gt;"",COUNTIF('Stableford - players'!$B$2:$B$65,"="&amp;Table2[[#This Row],[tee time6]]),"")</f>
        <v>4</v>
      </c>
      <c r="AJ60" s="59">
        <f>_xlfn.IFNA(VLOOKUP(Table2[[#This Row],[tee time6]],'Stableford - groups'!$A$3:$F$20,6,FALSE),"")</f>
        <v>56</v>
      </c>
      <c r="AK60" s="11">
        <f>_xlfn.IFNA(VLOOKUP(Table2[[#This Row],[tee time6]],'Stableford - groups'!$A$3:$F$20,4,FALSE),"")</f>
        <v>0.17152777777777778</v>
      </c>
      <c r="AL60" s="13">
        <f>_xlfn.IFNA(VLOOKUP(Table2[[#This Row],[tee time6]],'Stableford - groups'!$A$3:$F$20,5,FALSE),"")</f>
        <v>9.0277777777777457E-3</v>
      </c>
      <c r="AM60" s="68">
        <f>IF(AND(Table2[[#This Row],[gap6]]="NA",Table2[[#This Row],[round6]]&lt;4/24),0,IFERROR((MAX(starting_interval,IF(Table2[[#This Row],[gap6]]="NA",Table2[[#This Row],[avg gap]],Table2[[#This Row],[gap6]]))-starting_interval)*Table2[[#This Row],[followers6]]/Table2[[#This Row],[group size6]],""))</f>
        <v>2.9166666666666223E-2</v>
      </c>
      <c r="AN60" s="32" t="str">
        <f>_xlfn.IFNA(VLOOKUP(Table2[[#This Row],[Name]],'Turkey Shoot - players'!$A$2:$B$65,2,FALSE),"")</f>
        <v/>
      </c>
      <c r="AO60" s="59" t="str">
        <f>IF(Table2[[#This Row],[tee time7]]&lt;&gt;"",COUNTIF('Turkey Shoot - players'!$B$2:$B$65,"="&amp;Table2[[#This Row],[tee time7]]),"")</f>
        <v/>
      </c>
      <c r="AP60" s="59" t="str">
        <f>_xlfn.IFNA(VLOOKUP(Table2[[#This Row],[tee time7]],'Stableford - groups'!$A$3:$F$20,6,FALSE),"")</f>
        <v/>
      </c>
      <c r="AQ60" s="11" t="str">
        <f>_xlfn.IFNA(VLOOKUP(Table2[[#This Row],[tee time7]],'Turkey Shoot - groups'!$A$3:$F$20,4,FALSE),"")</f>
        <v/>
      </c>
      <c r="AR60" s="13" t="str">
        <f>_xlfn.IFNA(VLOOKUP(Table2[[#This Row],[tee time7]],'Turkey Shoot - groups'!$A$3:$F$20,5,FALSE),"")</f>
        <v/>
      </c>
      <c r="AS60" s="68" t="str">
        <f>IF(AND(Table2[[#This Row],[gap7]]="NA",Table2[[#This Row],[round7]]&lt;4/24),0,IFERROR((MAX(starting_interval,IF(Table2[[#This Row],[gap7]]="NA",Table2[[#This Row],[avg gap]],Table2[[#This Row],[gap7]]))-starting_interval)*Table2[[#This Row],[followers7]]/Table2[[#This Row],[group size7]],""))</f>
        <v/>
      </c>
      <c r="AT60" s="72">
        <f>COUNT(Table2[[#This Row],[Tee time1]],Table2[[#This Row],[tee time2]],Table2[[#This Row],[tee time3]],Table2[[#This Row],[tee time4]],Table2[[#This Row],[tee time5]],Table2[[#This Row],[tee time6]],Table2[[#This Row],[tee time7]])</f>
        <v>1</v>
      </c>
      <c r="AU60" s="4">
        <f>IFERROR(AVERAGE(Table2[[#This Row],[Tee time1]],Table2[[#This Row],[tee time2]],Table2[[#This Row],[tee time3]],Table2[[#This Row],[tee time4]],Table2[[#This Row],[tee time5]],Table2[[#This Row],[tee time6]],Table2[[#This Row],[tee time7]]),"")</f>
        <v>0.34027777777777773</v>
      </c>
      <c r="AV60" s="11">
        <f>IFERROR(MEDIAN(Table2[[#This Row],[round1]],Table2[[#This Row],[Round2]],Table2[[#This Row],[round3]],Table2[[#This Row],[round4]],Table2[[#This Row],[round5]],Table2[[#This Row],[round6]],Table2[[#This Row],[round7]]),"")</f>
        <v>0.17152777777777778</v>
      </c>
      <c r="AW60" s="11">
        <f>IFERROR(AVERAGE(Table2[[#This Row],[gap1]],Table2[[#This Row],[gap2]],Table2[[#This Row],[gap3]],Table2[[#This Row],[gap4]],Table2[[#This Row],[gap5]],Table2[[#This Row],[gap6]],Table2[[#This Row],[gap7]]),"")</f>
        <v>9.0277777777777457E-3</v>
      </c>
      <c r="AX60" s="9">
        <f>IFERROR((Table2[[#This Row],[avg gap]]-starting_interval)*24*60*Table2[[#This Row],[Count]],"NA")</f>
        <v>2.9999999999999543</v>
      </c>
      <c r="AY6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2.9166666666666223E-2</v>
      </c>
      <c r="AZ60" s="2"/>
    </row>
    <row r="61" spans="1:52" x14ac:dyDescent="0.3">
      <c r="A61" s="10" t="s">
        <v>480</v>
      </c>
      <c r="B61" s="28"/>
      <c r="C61" s="29"/>
      <c r="D61" s="63" t="str">
        <f>_xlfn.IFNA(VLOOKUP(Table2[[#This Row],[Name]],'Classic day 1 - players'!$A$2:$B$64,2,FALSE),"")</f>
        <v/>
      </c>
      <c r="E61" s="34" t="str">
        <f>IF(Table2[[#This Row],[Tee time1]]&lt;&gt;"",COUNTIF('Classic day 1 - players'!$B$2:$B$64,"="&amp;Table2[[#This Row],[Tee time1]]),"")</f>
        <v/>
      </c>
      <c r="F61" s="34" t="str">
        <f>_xlfn.IFNA(VLOOKUP(Table2[[#This Row],[Tee time1]],'Classic day 1 - groups'!$A$3:$F$20,6,FALSE),"")</f>
        <v/>
      </c>
      <c r="G61" s="30" t="str">
        <f>_xlfn.IFNA(VLOOKUP(Table2[[#This Row],[Tee time1]],'Classic day 1 - groups'!$A$3:$F$20,4,FALSE),"")</f>
        <v/>
      </c>
      <c r="H61" s="64" t="str">
        <f>_xlfn.IFNA(VLOOKUP(Table2[[#This Row],[Tee time1]],'Classic day 1 - groups'!$A$3:$F$20,5,FALSE),"")</f>
        <v/>
      </c>
      <c r="I61" s="69" t="str">
        <f>IFERROR((MAX(starting_interval,IF(Table2[[#This Row],[gap1]]="NA",Table2[[#This Row],[avg gap]],Table2[[#This Row],[gap1]]))-starting_interval)*Table2[[#This Row],[followers1]]/Table2[[#This Row],[group size]],"")</f>
        <v/>
      </c>
      <c r="J61" s="32" t="str">
        <f>_xlfn.IFNA(VLOOKUP(Table2[[#This Row],[Name]],'Classic day 2 - players'!$A$2:$B$64,2,FALSE),"")</f>
        <v/>
      </c>
      <c r="K61" s="33" t="str">
        <f>IF(Table2[[#This Row],[tee time2]]&lt;&gt;"",COUNTIF('Classic day 2 - players'!$B$2:$B$64,"="&amp;Table2[[#This Row],[tee time2]]),"")</f>
        <v/>
      </c>
      <c r="L61" s="33" t="str">
        <f>_xlfn.IFNA(VLOOKUP(Table2[[#This Row],[tee time2]],'Classic day 2 - groups'!$A$3:$F$20,6,FALSE),"")</f>
        <v/>
      </c>
      <c r="M61" s="4" t="str">
        <f>_xlfn.IFNA(VLOOKUP(Table2[[#This Row],[tee time2]],'Classic day 2 - groups'!$A$3:$F$20,4,FALSE),"")</f>
        <v/>
      </c>
      <c r="N61" s="65" t="str">
        <f>_xlfn.IFNA(VLOOKUP(Table2[[#This Row],[tee time2]],'Classic day 2 - groups'!$A$3:$F$20,5,FALSE),"")</f>
        <v/>
      </c>
      <c r="O61" s="69" t="str">
        <f>IFERROR((MAX(starting_interval,IF(Table2[[#This Row],[gap2]]="NA",Table2[[#This Row],[avg gap]],Table2[[#This Row],[gap2]]))-starting_interval)*Table2[[#This Row],[followers2]]/Table2[[#This Row],[group size2]],"")</f>
        <v/>
      </c>
      <c r="P61" s="66" t="str">
        <f>_xlfn.IFNA(VLOOKUP(Table2[[#This Row],[Name]],'Summer FD - players'!$A$2:$B$65,2,FALSE),"")</f>
        <v/>
      </c>
      <c r="Q61" s="60" t="str">
        <f>IF(Table2[[#This Row],[tee time3]]&lt;&gt;"",COUNTIF('Summer FD - players'!$B$2:$B$65,"="&amp;Table2[[#This Row],[tee time3]]),"")</f>
        <v/>
      </c>
      <c r="R61" s="60" t="str">
        <f>_xlfn.IFNA(VLOOKUP(Table2[[#This Row],[tee time3]],'Summer FD - groups'!$A$3:$F$20,6,FALSE),"")</f>
        <v/>
      </c>
      <c r="S61" s="3" t="str">
        <f>_xlfn.IFNA(VLOOKUP(Table2[[#This Row],[tee time3]],'Summer FD - groups'!$A$3:$F$20,4,FALSE),"")</f>
        <v/>
      </c>
      <c r="T61" s="65" t="str">
        <f>_xlfn.IFNA(VLOOKUP(Table2[[#This Row],[tee time3]],'Summer FD - groups'!$A$3:$F$20,5,FALSE),"")</f>
        <v/>
      </c>
      <c r="U61" s="69" t="str">
        <f>IF(Table2[[#This Row],[avg gap]]&lt;&gt;"",IFERROR((MAX(starting_interval,IF(Table2[[#This Row],[gap3]]="NA",Table2[[#This Row],[avg gap]],Table2[[#This Row],[gap3]]))-starting_interval)*Table2[[#This Row],[followers3]]/Table2[[#This Row],[group size3]],""),"")</f>
        <v/>
      </c>
      <c r="V61" s="32">
        <f>_xlfn.IFNA(VLOOKUP(Table2[[#This Row],[Name]],'6-6-6 - players'!$A$2:$B$69,2,FALSE),"")</f>
        <v>0.41666666666666669</v>
      </c>
      <c r="W61" s="60">
        <f>IF(Table2[[#This Row],[tee time4]]&lt;&gt;"",COUNTIF('6-6-6 - players'!$B$2:$B$69,"="&amp;Table2[[#This Row],[tee time4]]),"")</f>
        <v>4</v>
      </c>
      <c r="X61" s="60">
        <f>_xlfn.IFNA(VLOOKUP(Table2[[#This Row],[tee time4]],'6-6-6 - groups'!$A$3:$F$20,6,FALSE),"")</f>
        <v>20</v>
      </c>
      <c r="Y61" s="4">
        <f>_xlfn.IFNA(VLOOKUP(Table2[[#This Row],[tee time4]],'6-6-6 - groups'!$A$3:$F$20,4,FALSE),"")</f>
        <v>0.17638888888888887</v>
      </c>
      <c r="Z61" s="13">
        <f>_xlfn.IFNA(VLOOKUP(Table2[[#This Row],[tee time4]],'6-6-6 - groups'!$A$3:$F$20,5,FALSE),"")</f>
        <v>1.1805555555555625E-2</v>
      </c>
      <c r="AA61" s="69">
        <f>IF(Table2[[#This Row],[avg gap]]&lt;&gt;"",IFERROR((MAX(starting_interval,IF(Table2[[#This Row],[gap4]]="NA",Table2[[#This Row],[avg gap]],Table2[[#This Row],[gap4]]))-starting_interval)*Table2[[#This Row],[followers4]]/Table2[[#This Row],[group size4]],""),"")</f>
        <v>2.4305555555555903E-2</v>
      </c>
      <c r="AB61" s="32" t="str">
        <f>_xlfn.IFNA(VLOOKUP(Table2[[#This Row],[Name]],'Fall FD - players'!$A$2:$B$65,2,FALSE),"")</f>
        <v/>
      </c>
      <c r="AC61" s="60" t="str">
        <f>IF(Table2[[#This Row],[tee time5]]&lt;&gt;"",COUNTIF('Fall FD - players'!$B$2:$B$65,"="&amp;Table2[[#This Row],[tee time5]]),"")</f>
        <v/>
      </c>
      <c r="AD61" s="60" t="str">
        <f>_xlfn.IFNA(VLOOKUP(Table2[[#This Row],[tee time5]],'Fall FD - groups'!$A$3:$F$20,6,FALSE),"")</f>
        <v/>
      </c>
      <c r="AE61" s="4" t="str">
        <f>_xlfn.IFNA(VLOOKUP(Table2[[#This Row],[tee time5]],'Fall FD - groups'!$A$3:$F$20,4,FALSE),"")</f>
        <v/>
      </c>
      <c r="AF61" s="13" t="str">
        <f>IFERROR(MIN(_xlfn.IFNA(VLOOKUP(Table2[[#This Row],[tee time5]],'Fall FD - groups'!$A$3:$F$20,5,FALSE),""),starting_interval + Table2[[#This Row],[round5]] - standard_round_time),"")</f>
        <v/>
      </c>
      <c r="AG61" s="69" t="str">
        <f>IF(AND(Table2[[#This Row],[gap5]]="NA",Table2[[#This Row],[round5]]&lt;4/24),0,IFERROR((MAX(starting_interval,IF(Table2[[#This Row],[gap5]]="NA",Table2[[#This Row],[avg gap]],Table2[[#This Row],[gap5]]))-starting_interval)*Table2[[#This Row],[followers5]]/Table2[[#This Row],[group size5]],""))</f>
        <v/>
      </c>
      <c r="AH61" s="32" t="str">
        <f>_xlfn.IFNA(VLOOKUP(Table2[[#This Row],[Name]],'Stableford - players'!$A$2:$B$65,2,FALSE),"")</f>
        <v/>
      </c>
      <c r="AI61" s="60" t="str">
        <f>IF(Table2[[#This Row],[tee time6]]&lt;&gt;"",COUNTIF('Stableford - players'!$B$2:$B$65,"="&amp;Table2[[#This Row],[tee time6]]),"")</f>
        <v/>
      </c>
      <c r="AJ61" s="59" t="str">
        <f>_xlfn.IFNA(VLOOKUP(Table2[[#This Row],[tee time6]],'Stableford - groups'!$A$3:$F$20,6,FALSE),"")</f>
        <v/>
      </c>
      <c r="AK61" s="11" t="str">
        <f>_xlfn.IFNA(VLOOKUP(Table2[[#This Row],[tee time6]],'Stableford - groups'!$A$3:$F$20,4,FALSE),"")</f>
        <v/>
      </c>
      <c r="AL61" s="13" t="str">
        <f>_xlfn.IFNA(VLOOKUP(Table2[[#This Row],[tee time6]],'Stableford - groups'!$A$3:$F$20,5,FALSE),"")</f>
        <v/>
      </c>
      <c r="AM61" s="68" t="str">
        <f>IF(AND(Table2[[#This Row],[gap6]]="NA",Table2[[#This Row],[round6]]&lt;4/24),0,IFERROR((MAX(starting_interval,IF(Table2[[#This Row],[gap6]]="NA",Table2[[#This Row],[avg gap]],Table2[[#This Row],[gap6]]))-starting_interval)*Table2[[#This Row],[followers6]]/Table2[[#This Row],[group size6]],""))</f>
        <v/>
      </c>
      <c r="AN61" s="32" t="str">
        <f>_xlfn.IFNA(VLOOKUP(Table2[[#This Row],[Name]],'Turkey Shoot - players'!$A$2:$B$65,2,FALSE),"")</f>
        <v/>
      </c>
      <c r="AO61" s="59" t="str">
        <f>IF(Table2[[#This Row],[tee time7]]&lt;&gt;"",COUNTIF('Turkey Shoot - players'!$B$2:$B$65,"="&amp;Table2[[#This Row],[tee time7]]),"")</f>
        <v/>
      </c>
      <c r="AP61" s="59" t="str">
        <f>_xlfn.IFNA(VLOOKUP(Table2[[#This Row],[tee time7]],'Stableford - groups'!$A$3:$F$20,6,FALSE),"")</f>
        <v/>
      </c>
      <c r="AQ61" s="11" t="str">
        <f>_xlfn.IFNA(VLOOKUP(Table2[[#This Row],[tee time7]],'Turkey Shoot - groups'!$A$3:$F$20,4,FALSE),"")</f>
        <v/>
      </c>
      <c r="AR61" s="13" t="str">
        <f>_xlfn.IFNA(VLOOKUP(Table2[[#This Row],[tee time7]],'Turkey Shoot - groups'!$A$3:$F$20,5,FALSE),"")</f>
        <v/>
      </c>
      <c r="AS61" s="68" t="str">
        <f>IF(AND(Table2[[#This Row],[gap7]]="NA",Table2[[#This Row],[round7]]&lt;4/24),0,IFERROR((MAX(starting_interval,IF(Table2[[#This Row],[gap7]]="NA",Table2[[#This Row],[avg gap]],Table2[[#This Row],[gap7]]))-starting_interval)*Table2[[#This Row],[followers7]]/Table2[[#This Row],[group size7]],""))</f>
        <v/>
      </c>
      <c r="AT61" s="72">
        <f>COUNT(Table2[[#This Row],[Tee time1]],Table2[[#This Row],[tee time2]],Table2[[#This Row],[tee time3]],Table2[[#This Row],[tee time4]],Table2[[#This Row],[tee time5]],Table2[[#This Row],[tee time6]],Table2[[#This Row],[tee time7]])</f>
        <v>1</v>
      </c>
      <c r="AU61" s="4">
        <f>IFERROR(AVERAGE(Table2[[#This Row],[Tee time1]],Table2[[#This Row],[tee time2]],Table2[[#This Row],[tee time3]],Table2[[#This Row],[tee time4]],Table2[[#This Row],[tee time5]],Table2[[#This Row],[tee time6]],Table2[[#This Row],[tee time7]]),"")</f>
        <v>0.41666666666666669</v>
      </c>
      <c r="AV61" s="30">
        <f>IFERROR(MEDIAN(Table2[[#This Row],[round1]],Table2[[#This Row],[Round2]],Table2[[#This Row],[round3]],Table2[[#This Row],[round4]],Table2[[#This Row],[round5]],Table2[[#This Row],[round6]],Table2[[#This Row],[round7]]),"")</f>
        <v>0.17638888888888887</v>
      </c>
      <c r="AW61" s="30">
        <f>IFERROR(AVERAGE(Table2[[#This Row],[gap1]],Table2[[#This Row],[gap2]],Table2[[#This Row],[gap3]],Table2[[#This Row],[gap4]],Table2[[#This Row],[gap5]],Table2[[#This Row],[gap6]],Table2[[#This Row],[gap7]]),"")</f>
        <v>1.1805555555555625E-2</v>
      </c>
      <c r="AX61" s="9">
        <f>IFERROR((Table2[[#This Row],[avg gap]]-starting_interval)*24*60*Table2[[#This Row],[Count]],"NA")</f>
        <v>7.0000000000001004</v>
      </c>
      <c r="AY6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2.4305555555555903E-2</v>
      </c>
      <c r="AZ61" s="2"/>
    </row>
    <row r="62" spans="1:52" x14ac:dyDescent="0.3">
      <c r="A62" s="10" t="s">
        <v>153</v>
      </c>
      <c r="B62" s="1" t="s">
        <v>394</v>
      </c>
      <c r="C62" s="19">
        <v>19.399999999999999</v>
      </c>
      <c r="D62" s="32" t="str">
        <f>_xlfn.IFNA(VLOOKUP(Table2[[#This Row],[Name]],'Classic day 1 - players'!$A$2:$B$64,2,FALSE),"")</f>
        <v/>
      </c>
      <c r="E62" s="33" t="str">
        <f>IF(Table2[[#This Row],[Tee time1]]&lt;&gt;"",COUNTIF('Classic day 1 - players'!$B$2:$B$64,"="&amp;Table2[[#This Row],[Tee time1]]),"")</f>
        <v/>
      </c>
      <c r="F62" s="33" t="str">
        <f>_xlfn.IFNA(VLOOKUP(Table2[[#This Row],[Tee time1]],'Classic day 1 - groups'!$A$3:$F$20,6,FALSE),"")</f>
        <v/>
      </c>
      <c r="G62" s="11" t="str">
        <f>_xlfn.IFNA(VLOOKUP(Table2[[#This Row],[Tee time1]],'Classic day 1 - groups'!$A$3:$F$20,4,FALSE),"")</f>
        <v/>
      </c>
      <c r="H62" s="12" t="str">
        <f>_xlfn.IFNA(VLOOKUP(Table2[[#This Row],[Tee time1]],'Classic day 1 - groups'!$A$3:$F$20,5,FALSE),"")</f>
        <v/>
      </c>
      <c r="I62" s="69" t="str">
        <f>IFERROR((MAX(starting_interval,IF(Table2[[#This Row],[gap1]]="NA",Table2[[#This Row],[avg gap]],Table2[[#This Row],[gap1]]))-starting_interval)*Table2[[#This Row],[followers1]]/Table2[[#This Row],[group size]],"")</f>
        <v/>
      </c>
      <c r="J62" s="32" t="str">
        <f>_xlfn.IFNA(VLOOKUP(Table2[[#This Row],[Name]],'Classic day 2 - players'!$A$2:$B$64,2,FALSE),"")</f>
        <v/>
      </c>
      <c r="K62" s="33" t="str">
        <f>IF(Table2[[#This Row],[tee time2]]&lt;&gt;"",COUNTIF('Classic day 2 - players'!$B$2:$B$64,"="&amp;Table2[[#This Row],[tee time2]]),"")</f>
        <v/>
      </c>
      <c r="L62" s="33" t="str">
        <f>_xlfn.IFNA(VLOOKUP(Table2[[#This Row],[tee time2]],'Classic day 2 - groups'!$A$3:$F$20,6,FALSE),"")</f>
        <v/>
      </c>
      <c r="M62" s="4" t="str">
        <f>_xlfn.IFNA(VLOOKUP(Table2[[#This Row],[tee time2]],'Classic day 2 - groups'!$A$3:$F$20,4,FALSE),"")</f>
        <v/>
      </c>
      <c r="N62" s="65" t="str">
        <f>_xlfn.IFNA(VLOOKUP(Table2[[#This Row],[tee time2]],'Classic day 2 - groups'!$A$3:$F$20,5,FALSE),"")</f>
        <v/>
      </c>
      <c r="O62" s="69" t="str">
        <f>IFERROR((MAX(starting_interval,IF(Table2[[#This Row],[gap2]]="NA",Table2[[#This Row],[avg gap]],Table2[[#This Row],[gap2]]))-starting_interval)*Table2[[#This Row],[followers2]]/Table2[[#This Row],[group size2]],"")</f>
        <v/>
      </c>
      <c r="P62" s="32" t="str">
        <f>_xlfn.IFNA(VLOOKUP(Table2[[#This Row],[Name]],'Summer FD - players'!$A$2:$B$65,2,FALSE),"")</f>
        <v/>
      </c>
      <c r="Q62" s="59" t="str">
        <f>IF(Table2[[#This Row],[tee time3]]&lt;&gt;"",COUNTIF('Summer FD - players'!$B$2:$B$65,"="&amp;Table2[[#This Row],[tee time3]]),"")</f>
        <v/>
      </c>
      <c r="R62" s="59" t="str">
        <f>_xlfn.IFNA(VLOOKUP(Table2[[#This Row],[tee time3]],'Summer FD - groups'!$A$3:$F$20,6,FALSE),"")</f>
        <v/>
      </c>
      <c r="S62" s="4" t="str">
        <f>_xlfn.IFNA(VLOOKUP(Table2[[#This Row],[tee time3]],'Summer FD - groups'!$A$3:$F$20,4,FALSE),"")</f>
        <v/>
      </c>
      <c r="T62" s="13" t="str">
        <f>_xlfn.IFNA(VLOOKUP(Table2[[#This Row],[tee time3]],'Summer FD - groups'!$A$3:$F$20,5,FALSE),"")</f>
        <v/>
      </c>
      <c r="U62" s="69" t="str">
        <f>IF(Table2[[#This Row],[avg gap]]&lt;&gt;"",IFERROR((MAX(starting_interval,IF(Table2[[#This Row],[gap3]]="NA",Table2[[#This Row],[avg gap]],Table2[[#This Row],[gap3]]))-starting_interval)*Table2[[#This Row],[followers3]]/Table2[[#This Row],[group size3]],""),"")</f>
        <v/>
      </c>
      <c r="V62" s="32">
        <f>_xlfn.IFNA(VLOOKUP(Table2[[#This Row],[Name]],'6-6-6 - players'!$A$2:$B$69,2,FALSE),"")</f>
        <v>0.41666666666666669</v>
      </c>
      <c r="W62" s="59">
        <f>IF(Table2[[#This Row],[tee time4]]&lt;&gt;"",COUNTIF('6-6-6 - players'!$B$2:$B$69,"="&amp;Table2[[#This Row],[tee time4]]),"")</f>
        <v>4</v>
      </c>
      <c r="X62" s="59">
        <f>_xlfn.IFNA(VLOOKUP(Table2[[#This Row],[tee time4]],'6-6-6 - groups'!$A$3:$F$20,6,FALSE),"")</f>
        <v>20</v>
      </c>
      <c r="Y62" s="4">
        <f>_xlfn.IFNA(VLOOKUP(Table2[[#This Row],[tee time4]],'6-6-6 - groups'!$A$3:$F$20,4,FALSE),"")</f>
        <v>0.17638888888888887</v>
      </c>
      <c r="Z62" s="13">
        <f>_xlfn.IFNA(VLOOKUP(Table2[[#This Row],[tee time4]],'6-6-6 - groups'!$A$3:$F$20,5,FALSE),"")</f>
        <v>1.1805555555555625E-2</v>
      </c>
      <c r="AA62" s="69">
        <f>IF(Table2[[#This Row],[avg gap]]&lt;&gt;"",IFERROR((MAX(starting_interval,IF(Table2[[#This Row],[gap4]]="NA",Table2[[#This Row],[avg gap]],Table2[[#This Row],[gap4]]))-starting_interval)*Table2[[#This Row],[followers4]]/Table2[[#This Row],[group size4]],""),"")</f>
        <v>2.4305555555555903E-2</v>
      </c>
      <c r="AB62" s="32" t="str">
        <f>_xlfn.IFNA(VLOOKUP(Table2[[#This Row],[Name]],'Fall FD - players'!$A$2:$B$65,2,FALSE),"")</f>
        <v/>
      </c>
      <c r="AC62" s="59" t="str">
        <f>IF(Table2[[#This Row],[tee time5]]&lt;&gt;"",COUNTIF('Fall FD - players'!$B$2:$B$65,"="&amp;Table2[[#This Row],[tee time5]]),"")</f>
        <v/>
      </c>
      <c r="AD62" s="59" t="str">
        <f>_xlfn.IFNA(VLOOKUP(Table2[[#This Row],[tee time5]],'Fall FD - groups'!$A$3:$F$20,6,FALSE),"")</f>
        <v/>
      </c>
      <c r="AE62" s="4" t="str">
        <f>_xlfn.IFNA(VLOOKUP(Table2[[#This Row],[tee time5]],'Fall FD - groups'!$A$3:$F$20,4,FALSE),"")</f>
        <v/>
      </c>
      <c r="AF62" s="13" t="str">
        <f>IFERROR(MIN(_xlfn.IFNA(VLOOKUP(Table2[[#This Row],[tee time5]],'Fall FD - groups'!$A$3:$F$20,5,FALSE),""),starting_interval + Table2[[#This Row],[round5]] - standard_round_time),"")</f>
        <v/>
      </c>
      <c r="AG62" s="69" t="str">
        <f>IF(AND(Table2[[#This Row],[gap5]]="NA",Table2[[#This Row],[round5]]&lt;4/24),0,IFERROR((MAX(starting_interval,IF(Table2[[#This Row],[gap5]]="NA",Table2[[#This Row],[avg gap]],Table2[[#This Row],[gap5]]))-starting_interval)*Table2[[#This Row],[followers5]]/Table2[[#This Row],[group size5]],""))</f>
        <v/>
      </c>
      <c r="AH62" s="32">
        <f>_xlfn.IFNA(VLOOKUP(Table2[[#This Row],[Name]],'Stableford - players'!$A$2:$B$65,2,FALSE),"")</f>
        <v>0.4375</v>
      </c>
      <c r="AI62" s="59">
        <f>IF(Table2[[#This Row],[tee time6]]&lt;&gt;"",COUNTIF('Stableford - players'!$B$2:$B$65,"="&amp;Table2[[#This Row],[tee time6]]),"")</f>
        <v>4</v>
      </c>
      <c r="AJ62" s="59">
        <f>_xlfn.IFNA(VLOOKUP(Table2[[#This Row],[tee time6]],'Stableford - groups'!$A$3:$F$20,6,FALSE),"")</f>
        <v>0</v>
      </c>
      <c r="AK62" s="11">
        <f>_xlfn.IFNA(VLOOKUP(Table2[[#This Row],[tee time6]],'Stableford - groups'!$A$3:$F$20,4,FALSE),"")</f>
        <v>0.16875000000000007</v>
      </c>
      <c r="AL62" s="13">
        <f>_xlfn.IFNA(VLOOKUP(Table2[[#This Row],[tee time6]],'Stableford - groups'!$A$3:$F$20,5,FALSE),"")</f>
        <v>4.8611111111112049E-3</v>
      </c>
      <c r="AM62" s="68">
        <f>IF(AND(Table2[[#This Row],[gap6]]="NA",Table2[[#This Row],[round6]]&lt;4/24),0,IFERROR((MAX(starting_interval,IF(Table2[[#This Row],[gap6]]="NA",Table2[[#This Row],[avg gap]],Table2[[#This Row],[gap6]]))-starting_interval)*Table2[[#This Row],[followers6]]/Table2[[#This Row],[group size6]],""))</f>
        <v>0</v>
      </c>
      <c r="AN62" s="32" t="str">
        <f>_xlfn.IFNA(VLOOKUP(Table2[[#This Row],[Name]],'Turkey Shoot - players'!$A$2:$B$65,2,FALSE),"")</f>
        <v/>
      </c>
      <c r="AO62" s="59" t="str">
        <f>IF(Table2[[#This Row],[tee time7]]&lt;&gt;"",COUNTIF('Turkey Shoot - players'!$B$2:$B$65,"="&amp;Table2[[#This Row],[tee time7]]),"")</f>
        <v/>
      </c>
      <c r="AP62" s="59" t="str">
        <f>_xlfn.IFNA(VLOOKUP(Table2[[#This Row],[tee time7]],'Stableford - groups'!$A$3:$F$20,6,FALSE),"")</f>
        <v/>
      </c>
      <c r="AQ62" s="11" t="str">
        <f>_xlfn.IFNA(VLOOKUP(Table2[[#This Row],[tee time7]],'Turkey Shoot - groups'!$A$3:$F$20,4,FALSE),"")</f>
        <v/>
      </c>
      <c r="AR62" s="13" t="str">
        <f>_xlfn.IFNA(VLOOKUP(Table2[[#This Row],[tee time7]],'Turkey Shoot - groups'!$A$3:$F$20,5,FALSE),"")</f>
        <v/>
      </c>
      <c r="AS62" s="68" t="str">
        <f>IF(AND(Table2[[#This Row],[gap7]]="NA",Table2[[#This Row],[round7]]&lt;4/24),0,IFERROR((MAX(starting_interval,IF(Table2[[#This Row],[gap7]]="NA",Table2[[#This Row],[avg gap]],Table2[[#This Row],[gap7]]))-starting_interval)*Table2[[#This Row],[followers7]]/Table2[[#This Row],[group size7]],""))</f>
        <v/>
      </c>
      <c r="AT62" s="72">
        <f>COUNT(Table2[[#This Row],[Tee time1]],Table2[[#This Row],[tee time2]],Table2[[#This Row],[tee time3]],Table2[[#This Row],[tee time4]],Table2[[#This Row],[tee time5]],Table2[[#This Row],[tee time6]],Table2[[#This Row],[tee time7]])</f>
        <v>2</v>
      </c>
      <c r="AU62" s="4">
        <f>IFERROR(AVERAGE(Table2[[#This Row],[Tee time1]],Table2[[#This Row],[tee time2]],Table2[[#This Row],[tee time3]],Table2[[#This Row],[tee time4]],Table2[[#This Row],[tee time5]],Table2[[#This Row],[tee time6]],Table2[[#This Row],[tee time7]]),"")</f>
        <v>0.42708333333333337</v>
      </c>
      <c r="AV62" s="11">
        <f>IFERROR(MEDIAN(Table2[[#This Row],[round1]],Table2[[#This Row],[Round2]],Table2[[#This Row],[round3]],Table2[[#This Row],[round4]],Table2[[#This Row],[round5]],Table2[[#This Row],[round6]],Table2[[#This Row],[round7]]),"")</f>
        <v>0.17256944444444447</v>
      </c>
      <c r="AW62" s="11">
        <f>IFERROR(AVERAGE(Table2[[#This Row],[gap1]],Table2[[#This Row],[gap2]],Table2[[#This Row],[gap3]],Table2[[#This Row],[gap4]],Table2[[#This Row],[gap5]],Table2[[#This Row],[gap6]],Table2[[#This Row],[gap7]]),"")</f>
        <v>8.3333333333334147E-3</v>
      </c>
      <c r="AX62" s="9">
        <f>IFERROR((Table2[[#This Row],[avg gap]]-starting_interval)*24*60*Table2[[#This Row],[Count]],"NA")</f>
        <v>4.0000000000002354</v>
      </c>
      <c r="AY6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2.4305555555555903E-2</v>
      </c>
      <c r="AZ62" s="2"/>
    </row>
    <row r="63" spans="1:52" x14ac:dyDescent="0.3">
      <c r="A63" s="10" t="s">
        <v>34</v>
      </c>
      <c r="B63" s="1" t="s">
        <v>272</v>
      </c>
      <c r="C63" s="19">
        <v>13.2</v>
      </c>
      <c r="D63" s="32">
        <f>_xlfn.IFNA(VLOOKUP(Table2[[#This Row],[Name]],'Classic day 1 - players'!$A$2:$B$64,2,FALSE),"")</f>
        <v>0.39583333333333331</v>
      </c>
      <c r="E63" s="33">
        <f>IF(Table2[[#This Row],[Tee time1]]&lt;&gt;"",COUNTIF('Classic day 1 - players'!$B$2:$B$64,"="&amp;Table2[[#This Row],[Tee time1]]),"")</f>
        <v>4</v>
      </c>
      <c r="F63" s="33">
        <f>_xlfn.IFNA(VLOOKUP(Table2[[#This Row],[Tee time1]],'Classic day 1 - groups'!$A$3:$F$20,6,FALSE),"")</f>
        <v>28</v>
      </c>
      <c r="G63" s="11">
        <f>_xlfn.IFNA(VLOOKUP(Table2[[#This Row],[Tee time1]],'Classic day 1 - groups'!$A$3:$F$20,4,FALSE),"")</f>
        <v>0.20555555555555555</v>
      </c>
      <c r="H63" s="12">
        <f>_xlfn.IFNA(VLOOKUP(Table2[[#This Row],[Tee time1]],'Classic day 1 - groups'!$A$3:$F$20,5,FALSE),"")</f>
        <v>8.3333333333333037E-3</v>
      </c>
      <c r="I63" s="69">
        <f>IFERROR((MAX(starting_interval,IF(Table2[[#This Row],[gap1]]="NA",Table2[[#This Row],[avg gap]],Table2[[#This Row],[gap1]]))-starting_interval)*Table2[[#This Row],[followers1]]/Table2[[#This Row],[group size]],"")</f>
        <v>9.7222222222220177E-3</v>
      </c>
      <c r="J63" s="32">
        <f>_xlfn.IFNA(VLOOKUP(Table2[[#This Row],[Name]],'Classic day 2 - players'!$A$2:$B$64,2,FALSE),"")</f>
        <v>0.3520833333333333</v>
      </c>
      <c r="K63" s="33">
        <f>IF(Table2[[#This Row],[tee time2]]&lt;&gt;"",COUNTIF('Classic day 2 - players'!$B$2:$B$64,"="&amp;Table2[[#This Row],[tee time2]]),"")</f>
        <v>4</v>
      </c>
      <c r="L63" s="33">
        <f>_xlfn.IFNA(VLOOKUP(Table2[[#This Row],[tee time2]],'Classic day 2 - groups'!$A$3:$F$20,6,FALSE),"")</f>
        <v>40</v>
      </c>
      <c r="M63" s="4">
        <f>_xlfn.IFNA(VLOOKUP(Table2[[#This Row],[tee time2]],'Classic day 2 - groups'!$A$3:$F$20,4,FALSE),"")</f>
        <v>0.18819444444444444</v>
      </c>
      <c r="N63" s="65">
        <f>_xlfn.IFNA(VLOOKUP(Table2[[#This Row],[tee time2]],'Classic day 2 - groups'!$A$3:$F$20,5,FALSE),"")</f>
        <v>8.3333333333333332E-3</v>
      </c>
      <c r="O63" s="69">
        <f>IFERROR((MAX(starting_interval,IF(Table2[[#This Row],[gap2]]="NA",Table2[[#This Row],[avg gap]],Table2[[#This Row],[gap2]]))-starting_interval)*Table2[[#This Row],[followers2]]/Table2[[#This Row],[group size2]],"")</f>
        <v>1.3888888888888892E-2</v>
      </c>
      <c r="P63" s="32" t="str">
        <f>_xlfn.IFNA(VLOOKUP(Table2[[#This Row],[Name]],'Summer FD - players'!$A$2:$B$65,2,FALSE),"")</f>
        <v/>
      </c>
      <c r="Q63" s="59" t="str">
        <f>IF(Table2[[#This Row],[tee time3]]&lt;&gt;"",COUNTIF('Summer FD - players'!$B$2:$B$65,"="&amp;Table2[[#This Row],[tee time3]]),"")</f>
        <v/>
      </c>
      <c r="R63" s="59" t="str">
        <f>_xlfn.IFNA(VLOOKUP(Table2[[#This Row],[tee time3]],'Summer FD - groups'!$A$3:$F$20,6,FALSE),"")</f>
        <v/>
      </c>
      <c r="S63" s="4" t="str">
        <f>_xlfn.IFNA(VLOOKUP(Table2[[#This Row],[tee time3]],'Summer FD - groups'!$A$3:$F$20,4,FALSE),"")</f>
        <v/>
      </c>
      <c r="T63" s="13" t="str">
        <f>_xlfn.IFNA(VLOOKUP(Table2[[#This Row],[tee time3]],'Summer FD - groups'!$A$3:$F$20,5,FALSE),"")</f>
        <v/>
      </c>
      <c r="U63" s="69" t="str">
        <f>IF(Table2[[#This Row],[avg gap]]&lt;&gt;"",IFERROR((MAX(starting_interval,IF(Table2[[#This Row],[gap3]]="NA",Table2[[#This Row],[avg gap]],Table2[[#This Row],[gap3]]))-starting_interval)*Table2[[#This Row],[followers3]]/Table2[[#This Row],[group size3]],""),"")</f>
        <v/>
      </c>
      <c r="V63" s="32" t="str">
        <f>_xlfn.IFNA(VLOOKUP(Table2[[#This Row],[Name]],'6-6-6 - players'!$A$2:$B$69,2,FALSE),"")</f>
        <v/>
      </c>
      <c r="W63" s="59" t="str">
        <f>IF(Table2[[#This Row],[tee time4]]&lt;&gt;"",COUNTIF('6-6-6 - players'!$B$2:$B$69,"="&amp;Table2[[#This Row],[tee time4]]),"")</f>
        <v/>
      </c>
      <c r="X63" s="59" t="str">
        <f>_xlfn.IFNA(VLOOKUP(Table2[[#This Row],[tee time4]],'6-6-6 - groups'!$A$3:$F$20,6,FALSE),"")</f>
        <v/>
      </c>
      <c r="Y63" s="4" t="str">
        <f>_xlfn.IFNA(VLOOKUP(Table2[[#This Row],[tee time4]],'6-6-6 - groups'!$A$3:$F$20,4,FALSE),"")</f>
        <v/>
      </c>
      <c r="Z63" s="13" t="str">
        <f>_xlfn.IFNA(VLOOKUP(Table2[[#This Row],[tee time4]],'6-6-6 - groups'!$A$3:$F$20,5,FALSE),"")</f>
        <v/>
      </c>
      <c r="AA63" s="69" t="str">
        <f>IF(Table2[[#This Row],[avg gap]]&lt;&gt;"",IFERROR((MAX(starting_interval,IF(Table2[[#This Row],[gap4]]="NA",Table2[[#This Row],[avg gap]],Table2[[#This Row],[gap4]]))-starting_interval)*Table2[[#This Row],[followers4]]/Table2[[#This Row],[group size4]],""),"")</f>
        <v/>
      </c>
      <c r="AB63" s="32" t="str">
        <f>_xlfn.IFNA(VLOOKUP(Table2[[#This Row],[Name]],'Fall FD - players'!$A$2:$B$65,2,FALSE),"")</f>
        <v/>
      </c>
      <c r="AC63" s="59" t="str">
        <f>IF(Table2[[#This Row],[tee time5]]&lt;&gt;"",COUNTIF('Fall FD - players'!$B$2:$B$65,"="&amp;Table2[[#This Row],[tee time5]]),"")</f>
        <v/>
      </c>
      <c r="AD63" s="59" t="str">
        <f>_xlfn.IFNA(VLOOKUP(Table2[[#This Row],[tee time5]],'Fall FD - groups'!$A$3:$F$20,6,FALSE),"")</f>
        <v/>
      </c>
      <c r="AE63" s="4" t="str">
        <f>_xlfn.IFNA(VLOOKUP(Table2[[#This Row],[tee time5]],'Fall FD - groups'!$A$3:$F$20,4,FALSE),"")</f>
        <v/>
      </c>
      <c r="AF63" s="13" t="str">
        <f>IFERROR(MIN(_xlfn.IFNA(VLOOKUP(Table2[[#This Row],[tee time5]],'Fall FD - groups'!$A$3:$F$20,5,FALSE),""),starting_interval + Table2[[#This Row],[round5]] - standard_round_time),"")</f>
        <v/>
      </c>
      <c r="AG63" s="69" t="str">
        <f>IF(AND(Table2[[#This Row],[gap5]]="NA",Table2[[#This Row],[round5]]&lt;4/24),0,IFERROR((MAX(starting_interval,IF(Table2[[#This Row],[gap5]]="NA",Table2[[#This Row],[avg gap]],Table2[[#This Row],[gap5]]))-starting_interval)*Table2[[#This Row],[followers5]]/Table2[[#This Row],[group size5]],""))</f>
        <v/>
      </c>
      <c r="AH63" s="32" t="str">
        <f>_xlfn.IFNA(VLOOKUP(Table2[[#This Row],[Name]],'Stableford - players'!$A$2:$B$65,2,FALSE),"")</f>
        <v/>
      </c>
      <c r="AI63" s="59" t="str">
        <f>IF(Table2[[#This Row],[tee time6]]&lt;&gt;"",COUNTIF('Stableford - players'!$B$2:$B$65,"="&amp;Table2[[#This Row],[tee time6]]),"")</f>
        <v/>
      </c>
      <c r="AJ63" s="59" t="str">
        <f>_xlfn.IFNA(VLOOKUP(Table2[[#This Row],[tee time6]],'Stableford - groups'!$A$3:$F$20,6,FALSE),"")</f>
        <v/>
      </c>
      <c r="AK63" s="11" t="str">
        <f>_xlfn.IFNA(VLOOKUP(Table2[[#This Row],[tee time6]],'Stableford - groups'!$A$3:$F$20,4,FALSE),"")</f>
        <v/>
      </c>
      <c r="AL63" s="13" t="str">
        <f>_xlfn.IFNA(VLOOKUP(Table2[[#This Row],[tee time6]],'Stableford - groups'!$A$3:$F$20,5,FALSE),"")</f>
        <v/>
      </c>
      <c r="AM63" s="68" t="str">
        <f>IF(AND(Table2[[#This Row],[gap6]]="NA",Table2[[#This Row],[round6]]&lt;4/24),0,IFERROR((MAX(starting_interval,IF(Table2[[#This Row],[gap6]]="NA",Table2[[#This Row],[avg gap]],Table2[[#This Row],[gap6]]))-starting_interval)*Table2[[#This Row],[followers6]]/Table2[[#This Row],[group size6]],""))</f>
        <v/>
      </c>
      <c r="AN63" s="32" t="str">
        <f>_xlfn.IFNA(VLOOKUP(Table2[[#This Row],[Name]],'Turkey Shoot - players'!$A$2:$B$65,2,FALSE),"")</f>
        <v/>
      </c>
      <c r="AO63" s="59" t="str">
        <f>IF(Table2[[#This Row],[tee time7]]&lt;&gt;"",COUNTIF('Turkey Shoot - players'!$B$2:$B$65,"="&amp;Table2[[#This Row],[tee time7]]),"")</f>
        <v/>
      </c>
      <c r="AP63" s="59" t="str">
        <f>_xlfn.IFNA(VLOOKUP(Table2[[#This Row],[tee time7]],'Stableford - groups'!$A$3:$F$20,6,FALSE),"")</f>
        <v/>
      </c>
      <c r="AQ63" s="11" t="str">
        <f>_xlfn.IFNA(VLOOKUP(Table2[[#This Row],[tee time7]],'Turkey Shoot - groups'!$A$3:$F$20,4,FALSE),"")</f>
        <v/>
      </c>
      <c r="AR63" s="13" t="str">
        <f>_xlfn.IFNA(VLOOKUP(Table2[[#This Row],[tee time7]],'Turkey Shoot - groups'!$A$3:$F$20,5,FALSE),"")</f>
        <v/>
      </c>
      <c r="AS63" s="68" t="str">
        <f>IF(AND(Table2[[#This Row],[gap7]]="NA",Table2[[#This Row],[round7]]&lt;4/24),0,IFERROR((MAX(starting_interval,IF(Table2[[#This Row],[gap7]]="NA",Table2[[#This Row],[avg gap]],Table2[[#This Row],[gap7]]))-starting_interval)*Table2[[#This Row],[followers7]]/Table2[[#This Row],[group size7]],""))</f>
        <v/>
      </c>
      <c r="AT63" s="72">
        <f>COUNT(Table2[[#This Row],[Tee time1]],Table2[[#This Row],[tee time2]],Table2[[#This Row],[tee time3]],Table2[[#This Row],[tee time4]],Table2[[#This Row],[tee time5]],Table2[[#This Row],[tee time6]],Table2[[#This Row],[tee time7]])</f>
        <v>2</v>
      </c>
      <c r="AU63" s="4">
        <f>IFERROR(AVERAGE(Table2[[#This Row],[Tee time1]],Table2[[#This Row],[tee time2]],Table2[[#This Row],[tee time3]],Table2[[#This Row],[tee time4]],Table2[[#This Row],[tee time5]],Table2[[#This Row],[tee time6]],Table2[[#This Row],[tee time7]]),"")</f>
        <v>0.37395833333333328</v>
      </c>
      <c r="AV63" s="11">
        <f>IFERROR(MEDIAN(Table2[[#This Row],[round1]],Table2[[#This Row],[Round2]],Table2[[#This Row],[round3]],Table2[[#This Row],[round4]],Table2[[#This Row],[round5]],Table2[[#This Row],[round6]],Table2[[#This Row],[round7]]),"")</f>
        <v>0.19687499999999999</v>
      </c>
      <c r="AW63" s="11">
        <f>IFERROR(AVERAGE(Table2[[#This Row],[gap1]],Table2[[#This Row],[gap2]],Table2[[#This Row],[gap3]],Table2[[#This Row],[gap4]],Table2[[#This Row],[gap5]],Table2[[#This Row],[gap6]],Table2[[#This Row],[gap7]]),"")</f>
        <v>8.3333333333333176E-3</v>
      </c>
      <c r="AX63" s="9">
        <f>IFERROR((Table2[[#This Row],[avg gap]]-starting_interval)*24*60*Table2[[#This Row],[Count]],"NA")</f>
        <v>3.9999999999999556</v>
      </c>
      <c r="AY6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2.3611111111110909E-2</v>
      </c>
      <c r="AZ63" s="2"/>
    </row>
    <row r="64" spans="1:52" x14ac:dyDescent="0.3">
      <c r="A64" s="10" t="s">
        <v>5</v>
      </c>
      <c r="B64" s="1" t="s">
        <v>243</v>
      </c>
      <c r="C64" s="19">
        <v>6.6</v>
      </c>
      <c r="D64" s="32">
        <f>_xlfn.IFNA(VLOOKUP(Table2[[#This Row],[Name]],'Classic day 1 - players'!$A$2:$B$64,2,FALSE),"")</f>
        <v>0.3833333333333333</v>
      </c>
      <c r="E64" s="33">
        <f>IF(Table2[[#This Row],[Tee time1]]&lt;&gt;"",COUNTIF('Classic day 1 - players'!$B$2:$B$64,"="&amp;Table2[[#This Row],[Tee time1]]),"")</f>
        <v>3</v>
      </c>
      <c r="F64" s="33">
        <f>_xlfn.IFNA(VLOOKUP(Table2[[#This Row],[Tee time1]],'Classic day 1 - groups'!$A$3:$F$20,6,FALSE),"")</f>
        <v>36</v>
      </c>
      <c r="G64" s="11">
        <f>_xlfn.IFNA(VLOOKUP(Table2[[#This Row],[Tee time1]],'Classic day 1 - groups'!$A$3:$F$20,4,FALSE),"")</f>
        <v>0.19861111111111113</v>
      </c>
      <c r="H64" s="12">
        <f>_xlfn.IFNA(VLOOKUP(Table2[[#This Row],[Tee time1]],'Classic day 1 - groups'!$A$3:$F$20,5,FALSE),"")</f>
        <v>8.3333333333333037E-3</v>
      </c>
      <c r="I64" s="69">
        <f>IFERROR((MAX(starting_interval,IF(Table2[[#This Row],[gap1]]="NA",Table2[[#This Row],[avg gap]],Table2[[#This Row],[gap1]]))-starting_interval)*Table2[[#This Row],[followers1]]/Table2[[#This Row],[group size]],"")</f>
        <v>1.6666666666666316E-2</v>
      </c>
      <c r="J64" s="32">
        <f>_xlfn.IFNA(VLOOKUP(Table2[[#This Row],[Name]],'Classic day 2 - players'!$A$2:$B$64,2,FALSE),"")</f>
        <v>0.38958333333333334</v>
      </c>
      <c r="K64" s="33">
        <f>IF(Table2[[#This Row],[tee time2]]&lt;&gt;"",COUNTIF('Classic day 2 - players'!$B$2:$B$64,"="&amp;Table2[[#This Row],[tee time2]]),"")</f>
        <v>4</v>
      </c>
      <c r="L64" s="33">
        <f>_xlfn.IFNA(VLOOKUP(Table2[[#This Row],[tee time2]],'Classic day 2 - groups'!$A$3:$F$20,6,FALSE),"")</f>
        <v>16</v>
      </c>
      <c r="M64" s="4">
        <f>_xlfn.IFNA(VLOOKUP(Table2[[#This Row],[tee time2]],'Classic day 2 - groups'!$A$3:$F$20,4,FALSE),"")</f>
        <v>0.18611111111111112</v>
      </c>
      <c r="N64" s="65">
        <f>_xlfn.IFNA(VLOOKUP(Table2[[#This Row],[tee time2]],'Classic day 2 - groups'!$A$3:$F$20,5,FALSE),"")</f>
        <v>4.1666666666666666E-3</v>
      </c>
      <c r="O64" s="69">
        <f>IFERROR((MAX(starting_interval,IF(Table2[[#This Row],[gap2]]="NA",Table2[[#This Row],[avg gap]],Table2[[#This Row],[gap2]]))-starting_interval)*Table2[[#This Row],[followers2]]/Table2[[#This Row],[group size2]],"")</f>
        <v>0</v>
      </c>
      <c r="P64" s="32">
        <f>_xlfn.IFNA(VLOOKUP(Table2[[#This Row],[Name]],'Summer FD - players'!$A$2:$B$65,2,FALSE),"")</f>
        <v>0.35694444444444445</v>
      </c>
      <c r="Q64" s="59">
        <f>IF(Table2[[#This Row],[tee time3]]&lt;&gt;"",COUNTIF('Summer FD - players'!$B$2:$B$65,"="&amp;Table2[[#This Row],[tee time3]]),"")</f>
        <v>4</v>
      </c>
      <c r="R64" s="59">
        <f>_xlfn.IFNA(VLOOKUP(Table2[[#This Row],[tee time3]],'Summer FD - groups'!$A$3:$F$20,6,FALSE),"")</f>
        <v>48</v>
      </c>
      <c r="S64" s="4">
        <f>_xlfn.IFNA(VLOOKUP(Table2[[#This Row],[tee time3]],'Summer FD - groups'!$A$3:$F$20,4,FALSE),"")</f>
        <v>0.18958333333333327</v>
      </c>
      <c r="T64" s="13">
        <f>_xlfn.IFNA(VLOOKUP(Table2[[#This Row],[tee time3]],'Summer FD - groups'!$A$3:$F$20,5,FALSE),"")</f>
        <v>5.5555555555555358E-3</v>
      </c>
      <c r="U64" s="69">
        <f>IF(Table2[[#This Row],[avg gap]]&lt;&gt;"",IFERROR((MAX(starting_interval,IF(Table2[[#This Row],[gap3]]="NA",Table2[[#This Row],[avg gap]],Table2[[#This Row],[gap3]]))-starting_interval)*Table2[[#This Row],[followers3]]/Table2[[#This Row],[group size3]],""),"")</f>
        <v>0</v>
      </c>
      <c r="V64" s="32">
        <f>_xlfn.IFNA(VLOOKUP(Table2[[#This Row],[Name]],'6-6-6 - players'!$A$2:$B$69,2,FALSE),"")</f>
        <v>0.34027777777777773</v>
      </c>
      <c r="W64" s="59">
        <f>IF(Table2[[#This Row],[tee time4]]&lt;&gt;"",COUNTIF('6-6-6 - players'!$B$2:$B$69,"="&amp;Table2[[#This Row],[tee time4]]),"")</f>
        <v>4</v>
      </c>
      <c r="X64" s="59">
        <f>_xlfn.IFNA(VLOOKUP(Table2[[#This Row],[tee time4]],'6-6-6 - groups'!$A$3:$F$20,6,FALSE),"")</f>
        <v>64</v>
      </c>
      <c r="Y64" s="4">
        <f>_xlfn.IFNA(VLOOKUP(Table2[[#This Row],[tee time4]],'6-6-6 - groups'!$A$3:$F$20,4,FALSE),"")</f>
        <v>0.17569444444444443</v>
      </c>
      <c r="Z64" s="13">
        <f>_xlfn.IFNA(VLOOKUP(Table2[[#This Row],[tee time4]],'6-6-6 - groups'!$A$3:$F$20,5,FALSE),"")</f>
        <v>6.9444444444444198E-3</v>
      </c>
      <c r="AA64" s="69">
        <f>IF(Table2[[#This Row],[avg gap]]&lt;&gt;"",IFERROR((MAX(starting_interval,IF(Table2[[#This Row],[gap4]]="NA",Table2[[#This Row],[avg gap]],Table2[[#This Row],[gap4]]))-starting_interval)*Table2[[#This Row],[followers4]]/Table2[[#This Row],[group size4]],""),"")</f>
        <v>0</v>
      </c>
      <c r="AB64" s="32">
        <f>_xlfn.IFNA(VLOOKUP(Table2[[#This Row],[Name]],'Fall FD - players'!$A$2:$B$65,2,FALSE),"")</f>
        <v>0.38611111111111113</v>
      </c>
      <c r="AC64" s="59">
        <f>IF(Table2[[#This Row],[tee time5]]&lt;&gt;"",COUNTIF('Fall FD - players'!$B$2:$B$65,"="&amp;Table2[[#This Row],[tee time5]]),"")</f>
        <v>4</v>
      </c>
      <c r="AD64" s="59">
        <f>_xlfn.IFNA(VLOOKUP(Table2[[#This Row],[tee time5]],'Fall FD - groups'!$A$3:$F$20,6,FALSE),"")</f>
        <v>40</v>
      </c>
      <c r="AE64" s="4">
        <f>_xlfn.IFNA(VLOOKUP(Table2[[#This Row],[tee time5]],'Fall FD - groups'!$A$3:$F$20,4,FALSE),"")</f>
        <v>0.18055555555555552</v>
      </c>
      <c r="AF64" s="13">
        <f>IFERROR(MIN(_xlfn.IFNA(VLOOKUP(Table2[[#This Row],[tee time5]],'Fall FD - groups'!$A$3:$F$20,5,FALSE),""),starting_interval + Table2[[#This Row],[round5]] - standard_round_time),"")</f>
        <v>6.9444444444444198E-3</v>
      </c>
      <c r="AG64" s="69">
        <f>IF(AND(Table2[[#This Row],[gap5]]="NA",Table2[[#This Row],[round5]]&lt;4/24),0,IFERROR((MAX(starting_interval,IF(Table2[[#This Row],[gap5]]="NA",Table2[[#This Row],[avg gap]],Table2[[#This Row],[gap5]]))-starting_interval)*Table2[[#This Row],[followers5]]/Table2[[#This Row],[group size5]],""))</f>
        <v>0</v>
      </c>
      <c r="AH64" s="32">
        <f>_xlfn.IFNA(VLOOKUP(Table2[[#This Row],[Name]],'Stableford - players'!$A$2:$B$65,2,FALSE),"")</f>
        <v>0.3888888888888889</v>
      </c>
      <c r="AI64" s="59">
        <f>IF(Table2[[#This Row],[tee time6]]&lt;&gt;"",COUNTIF('Stableford - players'!$B$2:$B$65,"="&amp;Table2[[#This Row],[tee time6]]),"")</f>
        <v>4</v>
      </c>
      <c r="AJ64" s="59">
        <f>_xlfn.IFNA(VLOOKUP(Table2[[#This Row],[tee time6]],'Stableford - groups'!$A$3:$F$20,6,FALSE),"")</f>
        <v>28</v>
      </c>
      <c r="AK64" s="11">
        <f>_xlfn.IFNA(VLOOKUP(Table2[[#This Row],[tee time6]],'Stableford - groups'!$A$3:$F$20,4,FALSE),"")</f>
        <v>0.17222222222222222</v>
      </c>
      <c r="AL64" s="13">
        <f>_xlfn.IFNA(VLOOKUP(Table2[[#This Row],[tee time6]],'Stableford - groups'!$A$3:$F$20,5,FALSE),"")</f>
        <v>6.2499999999999778E-3</v>
      </c>
      <c r="AM64" s="68">
        <f>IF(AND(Table2[[#This Row],[gap6]]="NA",Table2[[#This Row],[round6]]&lt;4/24),0,IFERROR((MAX(starting_interval,IF(Table2[[#This Row],[gap6]]="NA",Table2[[#This Row],[avg gap]],Table2[[#This Row],[gap6]]))-starting_interval)*Table2[[#This Row],[followers6]]/Table2[[#This Row],[group size6]],""))</f>
        <v>0</v>
      </c>
      <c r="AN64" s="32">
        <f>_xlfn.IFNA(VLOOKUP(Table2[[#This Row],[Name]],'Turkey Shoot - players'!$A$2:$B$65,2,FALSE),"")</f>
        <v>0.40277777777777773</v>
      </c>
      <c r="AO64" s="59">
        <f>IF(Table2[[#This Row],[tee time7]]&lt;&gt;"",COUNTIF('Turkey Shoot - players'!$B$2:$B$65,"="&amp;Table2[[#This Row],[tee time7]]),"")</f>
        <v>4</v>
      </c>
      <c r="AP64" s="59">
        <f>_xlfn.IFNA(VLOOKUP(Table2[[#This Row],[tee time7]],'Stableford - groups'!$A$3:$F$20,6,FALSE),"")</f>
        <v>20</v>
      </c>
      <c r="AQ64" s="11">
        <f>_xlfn.IFNA(VLOOKUP(Table2[[#This Row],[tee time7]],'Turkey Shoot - groups'!$A$3:$F$20,4,FALSE),"")</f>
        <v>0.17291666666666666</v>
      </c>
      <c r="AR64" s="13">
        <f>_xlfn.IFNA(VLOOKUP(Table2[[#This Row],[tee time7]],'Turkey Shoot - groups'!$A$3:$F$20,5,FALSE),"")</f>
        <v>8.3333333333333332E-3</v>
      </c>
      <c r="AS64" s="68">
        <f>IF(AND(Table2[[#This Row],[gap7]]="NA",Table2[[#This Row],[round7]]&lt;4/24),0,IFERROR((MAX(starting_interval,IF(Table2[[#This Row],[gap7]]="NA",Table2[[#This Row],[avg gap]],Table2[[#This Row],[gap7]]))-starting_interval)*Table2[[#This Row],[followers7]]/Table2[[#This Row],[group size7]],""))</f>
        <v>6.9444444444444458E-3</v>
      </c>
      <c r="AT64" s="72">
        <f>COUNT(Table2[[#This Row],[Tee time1]],Table2[[#This Row],[tee time2]],Table2[[#This Row],[tee time3]],Table2[[#This Row],[tee time4]],Table2[[#This Row],[tee time5]],Table2[[#This Row],[tee time6]],Table2[[#This Row],[tee time7]])</f>
        <v>7</v>
      </c>
      <c r="AU64" s="4">
        <f>IFERROR(AVERAGE(Table2[[#This Row],[Tee time1]],Table2[[#This Row],[tee time2]],Table2[[#This Row],[tee time3]],Table2[[#This Row],[tee time4]],Table2[[#This Row],[tee time5]],Table2[[#This Row],[tee time6]],Table2[[#This Row],[tee time7]]),"")</f>
        <v>0.37827380952380951</v>
      </c>
      <c r="AV64" s="11">
        <f>IFERROR(MEDIAN(Table2[[#This Row],[round1]],Table2[[#This Row],[Round2]],Table2[[#This Row],[round3]],Table2[[#This Row],[round4]],Table2[[#This Row],[round5]],Table2[[#This Row],[round6]],Table2[[#This Row],[round7]]),"")</f>
        <v>0.18055555555555552</v>
      </c>
      <c r="AW64" s="11">
        <f>IFERROR(AVERAGE(Table2[[#This Row],[gap1]],Table2[[#This Row],[gap2]],Table2[[#This Row],[gap3]],Table2[[#This Row],[gap4]],Table2[[#This Row],[gap5]],Table2[[#This Row],[gap6]],Table2[[#This Row],[gap7]]),"")</f>
        <v>6.6468253968253793E-3</v>
      </c>
      <c r="AX64" s="9">
        <f>IFERROR((Table2[[#This Row],[avg gap]]-starting_interval)*24*60*Table2[[#This Row],[Count]],"NA")</f>
        <v>-3.0000000000001728</v>
      </c>
      <c r="AY6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2.3611111111110764E-2</v>
      </c>
      <c r="AZ64" s="2"/>
    </row>
    <row r="65" spans="1:52" x14ac:dyDescent="0.3">
      <c r="A65" s="10" t="s">
        <v>188</v>
      </c>
      <c r="B65" s="1" t="s">
        <v>427</v>
      </c>
      <c r="C65" s="19">
        <v>28.4</v>
      </c>
      <c r="D65" s="32">
        <f>_xlfn.IFNA(VLOOKUP(Table2[[#This Row],[Name]],'Classic day 1 - players'!$A$2:$B$64,2,FALSE),"")</f>
        <v>0.42083333333333334</v>
      </c>
      <c r="E65" s="33">
        <f>IF(Table2[[#This Row],[Tee time1]]&lt;&gt;"",COUNTIF('Classic day 1 - players'!$B$2:$B$64,"="&amp;Table2[[#This Row],[Tee time1]]),"")</f>
        <v>4</v>
      </c>
      <c r="F65" s="33">
        <f>_xlfn.IFNA(VLOOKUP(Table2[[#This Row],[Tee time1]],'Classic day 1 - groups'!$A$3:$F$20,6,FALSE),"")</f>
        <v>12</v>
      </c>
      <c r="G65" s="11">
        <f>_xlfn.IFNA(VLOOKUP(Table2[[#This Row],[Tee time1]],'Classic day 1 - groups'!$A$3:$F$20,4,FALSE),"")</f>
        <v>0.2</v>
      </c>
      <c r="H65" s="12">
        <f>_xlfn.IFNA(VLOOKUP(Table2[[#This Row],[Tee time1]],'Classic day 1 - groups'!$A$3:$F$20,5,FALSE),"")</f>
        <v>6.2499999999999778E-3</v>
      </c>
      <c r="I65" s="69">
        <f>IFERROR((MAX(starting_interval,IF(Table2[[#This Row],[gap1]]="NA",Table2[[#This Row],[avg gap]],Table2[[#This Row],[gap1]]))-starting_interval)*Table2[[#This Row],[followers1]]/Table2[[#This Row],[group size]],"")</f>
        <v>0</v>
      </c>
      <c r="J65" s="32">
        <f>_xlfn.IFNA(VLOOKUP(Table2[[#This Row],[Name]],'Classic day 2 - players'!$A$2:$B$64,2,FALSE),"")</f>
        <v>0.33958333333333335</v>
      </c>
      <c r="K65" s="33">
        <f>IF(Table2[[#This Row],[tee time2]]&lt;&gt;"",COUNTIF('Classic day 2 - players'!$B$2:$B$64,"="&amp;Table2[[#This Row],[tee time2]]),"")</f>
        <v>4</v>
      </c>
      <c r="L65" s="33">
        <f>_xlfn.IFNA(VLOOKUP(Table2[[#This Row],[tee time2]],'Classic day 2 - groups'!$A$3:$F$20,6,FALSE),"")</f>
        <v>48</v>
      </c>
      <c r="M65" s="4">
        <f>_xlfn.IFNA(VLOOKUP(Table2[[#This Row],[tee time2]],'Classic day 2 - groups'!$A$3:$F$20,4,FALSE),"")</f>
        <v>0.16874999999999998</v>
      </c>
      <c r="N65" s="65">
        <f>_xlfn.IFNA(VLOOKUP(Table2[[#This Row],[tee time2]],'Classic day 2 - groups'!$A$3:$F$20,5,FALSE),"")</f>
        <v>6.9444444444444441E-3</v>
      </c>
      <c r="O65" s="69">
        <f>IFERROR((MAX(starting_interval,IF(Table2[[#This Row],[gap2]]="NA",Table2[[#This Row],[avg gap]],Table2[[#This Row],[gap2]]))-starting_interval)*Table2[[#This Row],[followers2]]/Table2[[#This Row],[group size2]],"")</f>
        <v>0</v>
      </c>
      <c r="P65" s="32" t="str">
        <f>_xlfn.IFNA(VLOOKUP(Table2[[#This Row],[Name]],'Summer FD - players'!$A$2:$B$65,2,FALSE),"")</f>
        <v/>
      </c>
      <c r="Q65" s="59" t="str">
        <f>IF(Table2[[#This Row],[tee time3]]&lt;&gt;"",COUNTIF('Summer FD - players'!$B$2:$B$65,"="&amp;Table2[[#This Row],[tee time3]]),"")</f>
        <v/>
      </c>
      <c r="R65" s="59" t="str">
        <f>_xlfn.IFNA(VLOOKUP(Table2[[#This Row],[tee time3]],'Summer FD - groups'!$A$3:$F$20,6,FALSE),"")</f>
        <v/>
      </c>
      <c r="S65" s="4" t="str">
        <f>_xlfn.IFNA(VLOOKUP(Table2[[#This Row],[tee time3]],'Summer FD - groups'!$A$3:$F$20,4,FALSE),"")</f>
        <v/>
      </c>
      <c r="T65" s="13" t="str">
        <f>_xlfn.IFNA(VLOOKUP(Table2[[#This Row],[tee time3]],'Summer FD - groups'!$A$3:$F$20,5,FALSE),"")</f>
        <v/>
      </c>
      <c r="U65" s="69" t="str">
        <f>IF(Table2[[#This Row],[avg gap]]&lt;&gt;"",IFERROR((MAX(starting_interval,IF(Table2[[#This Row],[gap3]]="NA",Table2[[#This Row],[avg gap]],Table2[[#This Row],[gap3]]))-starting_interval)*Table2[[#This Row],[followers3]]/Table2[[#This Row],[group size3]],""),"")</f>
        <v/>
      </c>
      <c r="V65" s="32">
        <f>_xlfn.IFNA(VLOOKUP(Table2[[#This Row],[Name]],'6-6-6 - players'!$A$2:$B$69,2,FALSE),"")</f>
        <v>0.4375</v>
      </c>
      <c r="W65" s="59">
        <f>IF(Table2[[#This Row],[tee time4]]&lt;&gt;"",COUNTIF('6-6-6 - players'!$B$2:$B$69,"="&amp;Table2[[#This Row],[tee time4]]),"")</f>
        <v>4</v>
      </c>
      <c r="X65" s="59">
        <f>_xlfn.IFNA(VLOOKUP(Table2[[#This Row],[tee time4]],'6-6-6 - groups'!$A$3:$F$20,6,FALSE),"")</f>
        <v>8</v>
      </c>
      <c r="Y65" s="4">
        <f>_xlfn.IFNA(VLOOKUP(Table2[[#This Row],[tee time4]],'6-6-6 - groups'!$A$3:$F$20,4,FALSE),"")</f>
        <v>0.18402777777777773</v>
      </c>
      <c r="Z65" s="13">
        <f>_xlfn.IFNA(VLOOKUP(Table2[[#This Row],[tee time4]],'6-6-6 - groups'!$A$3:$F$20,5,FALSE),"")</f>
        <v>1.3888888888888951E-2</v>
      </c>
      <c r="AA65" s="69">
        <f>IF(Table2[[#This Row],[avg gap]]&lt;&gt;"",IFERROR((MAX(starting_interval,IF(Table2[[#This Row],[gap4]]="NA",Table2[[#This Row],[avg gap]],Table2[[#This Row],[gap4]]))-starting_interval)*Table2[[#This Row],[followers4]]/Table2[[#This Row],[group size4]],""),"")</f>
        <v>1.3888888888889013E-2</v>
      </c>
      <c r="AB65" s="32">
        <f>_xlfn.IFNA(VLOOKUP(Table2[[#This Row],[Name]],'Fall FD - players'!$A$2:$B$65,2,FALSE),"")</f>
        <v>0.42083333333333334</v>
      </c>
      <c r="AC65" s="59">
        <f>IF(Table2[[#This Row],[tee time5]]&lt;&gt;"",COUNTIF('Fall FD - players'!$B$2:$B$65,"="&amp;Table2[[#This Row],[tee time5]]),"")</f>
        <v>3</v>
      </c>
      <c r="AD65" s="59">
        <f>_xlfn.IFNA(VLOOKUP(Table2[[#This Row],[tee time5]],'Fall FD - groups'!$A$3:$F$20,6,FALSE),"")</f>
        <v>20</v>
      </c>
      <c r="AE65" s="4">
        <f>_xlfn.IFNA(VLOOKUP(Table2[[#This Row],[tee time5]],'Fall FD - groups'!$A$3:$F$20,4,FALSE),"")</f>
        <v>0.17916666666666664</v>
      </c>
      <c r="AF65" s="13">
        <f>IFERROR(MIN(_xlfn.IFNA(VLOOKUP(Table2[[#This Row],[tee time5]],'Fall FD - groups'!$A$3:$F$20,5,FALSE),""),starting_interval + Table2[[#This Row],[round5]] - standard_round_time),"")</f>
        <v>8.3333333333333037E-3</v>
      </c>
      <c r="AG65" s="69">
        <f>IF(AND(Table2[[#This Row],[gap5]]="NA",Table2[[#This Row],[round5]]&lt;4/24),0,IFERROR((MAX(starting_interval,IF(Table2[[#This Row],[gap5]]="NA",Table2[[#This Row],[avg gap]],Table2[[#This Row],[gap5]]))-starting_interval)*Table2[[#This Row],[followers5]]/Table2[[#This Row],[group size5]],""))</f>
        <v>9.2592592592590645E-3</v>
      </c>
      <c r="AH65" s="32">
        <f>_xlfn.IFNA(VLOOKUP(Table2[[#This Row],[Name]],'Stableford - players'!$A$2:$B$65,2,FALSE),"")</f>
        <v>0.39583333333333331</v>
      </c>
      <c r="AI65" s="59">
        <f>IF(Table2[[#This Row],[tee time6]]&lt;&gt;"",COUNTIF('Stableford - players'!$B$2:$B$65,"="&amp;Table2[[#This Row],[tee time6]]),"")</f>
        <v>3</v>
      </c>
      <c r="AJ65" s="59">
        <f>_xlfn.IFNA(VLOOKUP(Table2[[#This Row],[tee time6]],'Stableford - groups'!$A$3:$F$20,6,FALSE),"")</f>
        <v>24</v>
      </c>
      <c r="AK65" s="11">
        <f>_xlfn.IFNA(VLOOKUP(Table2[[#This Row],[tee time6]],'Stableford - groups'!$A$3:$F$20,4,FALSE),"")</f>
        <v>0.17152777777777772</v>
      </c>
      <c r="AL65" s="13">
        <f>_xlfn.IFNA(VLOOKUP(Table2[[#This Row],[tee time6]],'Stableford - groups'!$A$3:$F$20,5,FALSE),"")</f>
        <v>6.2499999999999778E-3</v>
      </c>
      <c r="AM65" s="68">
        <f>IF(AND(Table2[[#This Row],[gap6]]="NA",Table2[[#This Row],[round6]]&lt;4/24),0,IFERROR((MAX(starting_interval,IF(Table2[[#This Row],[gap6]]="NA",Table2[[#This Row],[avg gap]],Table2[[#This Row],[gap6]]))-starting_interval)*Table2[[#This Row],[followers6]]/Table2[[#This Row],[group size6]],""))</f>
        <v>0</v>
      </c>
      <c r="AN65" s="32" t="str">
        <f>_xlfn.IFNA(VLOOKUP(Table2[[#This Row],[Name]],'Turkey Shoot - players'!$A$2:$B$65,2,FALSE),"")</f>
        <v/>
      </c>
      <c r="AO65" s="59" t="str">
        <f>IF(Table2[[#This Row],[tee time7]]&lt;&gt;"",COUNTIF('Turkey Shoot - players'!$B$2:$B$65,"="&amp;Table2[[#This Row],[tee time7]]),"")</f>
        <v/>
      </c>
      <c r="AP65" s="59" t="str">
        <f>_xlfn.IFNA(VLOOKUP(Table2[[#This Row],[tee time7]],'Stableford - groups'!$A$3:$F$20,6,FALSE),"")</f>
        <v/>
      </c>
      <c r="AQ65" s="11" t="str">
        <f>_xlfn.IFNA(VLOOKUP(Table2[[#This Row],[tee time7]],'Turkey Shoot - groups'!$A$3:$F$20,4,FALSE),"")</f>
        <v/>
      </c>
      <c r="AR65" s="13" t="str">
        <f>_xlfn.IFNA(VLOOKUP(Table2[[#This Row],[tee time7]],'Turkey Shoot - groups'!$A$3:$F$20,5,FALSE),"")</f>
        <v/>
      </c>
      <c r="AS65" s="68" t="str">
        <f>IF(AND(Table2[[#This Row],[gap7]]="NA",Table2[[#This Row],[round7]]&lt;4/24),0,IFERROR((MAX(starting_interval,IF(Table2[[#This Row],[gap7]]="NA",Table2[[#This Row],[avg gap]],Table2[[#This Row],[gap7]]))-starting_interval)*Table2[[#This Row],[followers7]]/Table2[[#This Row],[group size7]],""))</f>
        <v/>
      </c>
      <c r="AT65" s="72">
        <f>COUNT(Table2[[#This Row],[Tee time1]],Table2[[#This Row],[tee time2]],Table2[[#This Row],[tee time3]],Table2[[#This Row],[tee time4]],Table2[[#This Row],[tee time5]],Table2[[#This Row],[tee time6]],Table2[[#This Row],[tee time7]])</f>
        <v>5</v>
      </c>
      <c r="AU65" s="4">
        <f>IFERROR(AVERAGE(Table2[[#This Row],[Tee time1]],Table2[[#This Row],[tee time2]],Table2[[#This Row],[tee time3]],Table2[[#This Row],[tee time4]],Table2[[#This Row],[tee time5]],Table2[[#This Row],[tee time6]],Table2[[#This Row],[tee time7]]),"")</f>
        <v>0.4029166666666667</v>
      </c>
      <c r="AV65" s="11">
        <f>IFERROR(MEDIAN(Table2[[#This Row],[round1]],Table2[[#This Row],[Round2]],Table2[[#This Row],[round3]],Table2[[#This Row],[round4]],Table2[[#This Row],[round5]],Table2[[#This Row],[round6]],Table2[[#This Row],[round7]]),"")</f>
        <v>0.17916666666666664</v>
      </c>
      <c r="AW65" s="11">
        <f>IFERROR(AVERAGE(Table2[[#This Row],[gap1]],Table2[[#This Row],[gap2]],Table2[[#This Row],[gap3]],Table2[[#This Row],[gap4]],Table2[[#This Row],[gap5]],Table2[[#This Row],[gap6]],Table2[[#This Row],[gap7]]),"")</f>
        <v>8.3333333333333315E-3</v>
      </c>
      <c r="AX65" s="9">
        <f>IFERROR((Table2[[#This Row],[avg gap]]-starting_interval)*24*60*Table2[[#This Row],[Count]],"NA")</f>
        <v>9.9999999999999893</v>
      </c>
      <c r="AY6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2.3148148148148077E-2</v>
      </c>
      <c r="AZ65" s="2"/>
    </row>
    <row r="66" spans="1:52" x14ac:dyDescent="0.3">
      <c r="A66" s="10" t="s">
        <v>185</v>
      </c>
      <c r="B66" s="1" t="s">
        <v>424</v>
      </c>
      <c r="C66" s="19">
        <v>12.2</v>
      </c>
      <c r="D66" s="32">
        <f>_xlfn.IFNA(VLOOKUP(Table2[[#This Row],[Name]],'Classic day 1 - players'!$A$2:$B$64,2,FALSE),"")</f>
        <v>0.42083333333333334</v>
      </c>
      <c r="E66" s="33">
        <f>IF(Table2[[#This Row],[Tee time1]]&lt;&gt;"",COUNTIF('Classic day 1 - players'!$B$2:$B$64,"="&amp;Table2[[#This Row],[Tee time1]]),"")</f>
        <v>4</v>
      </c>
      <c r="F66" s="33">
        <f>_xlfn.IFNA(VLOOKUP(Table2[[#This Row],[Tee time1]],'Classic day 1 - groups'!$A$3:$F$20,6,FALSE),"")</f>
        <v>12</v>
      </c>
      <c r="G66" s="11">
        <f>_xlfn.IFNA(VLOOKUP(Table2[[#This Row],[Tee time1]],'Classic day 1 - groups'!$A$3:$F$20,4,FALSE),"")</f>
        <v>0.2</v>
      </c>
      <c r="H66" s="12">
        <f>_xlfn.IFNA(VLOOKUP(Table2[[#This Row],[Tee time1]],'Classic day 1 - groups'!$A$3:$F$20,5,FALSE),"")</f>
        <v>6.2499999999999778E-3</v>
      </c>
      <c r="I66" s="69">
        <f>IFERROR((MAX(starting_interval,IF(Table2[[#This Row],[gap1]]="NA",Table2[[#This Row],[avg gap]],Table2[[#This Row],[gap1]]))-starting_interval)*Table2[[#This Row],[followers1]]/Table2[[#This Row],[group size]],"")</f>
        <v>0</v>
      </c>
      <c r="J66" s="32">
        <f>_xlfn.IFNA(VLOOKUP(Table2[[#This Row],[Name]],'Classic day 2 - players'!$A$2:$B$64,2,FALSE),"")</f>
        <v>0.37708333333333338</v>
      </c>
      <c r="K66" s="33">
        <f>IF(Table2[[#This Row],[tee time2]]&lt;&gt;"",COUNTIF('Classic day 2 - players'!$B$2:$B$64,"="&amp;Table2[[#This Row],[tee time2]]),"")</f>
        <v>4</v>
      </c>
      <c r="L66" s="33">
        <f>_xlfn.IFNA(VLOOKUP(Table2[[#This Row],[tee time2]],'Classic day 2 - groups'!$A$3:$F$20,6,FALSE),"")</f>
        <v>24</v>
      </c>
      <c r="M66" s="4">
        <f>_xlfn.IFNA(VLOOKUP(Table2[[#This Row],[tee time2]],'Classic day 2 - groups'!$A$3:$F$20,4,FALSE),"")</f>
        <v>0.18819444444444444</v>
      </c>
      <c r="N66" s="65">
        <f>_xlfn.IFNA(VLOOKUP(Table2[[#This Row],[tee time2]],'Classic day 2 - groups'!$A$3:$F$20,5,FALSE),"")</f>
        <v>6.9444444444444441E-3</v>
      </c>
      <c r="O66" s="69">
        <f>IFERROR((MAX(starting_interval,IF(Table2[[#This Row],[gap2]]="NA",Table2[[#This Row],[avg gap]],Table2[[#This Row],[gap2]]))-starting_interval)*Table2[[#This Row],[followers2]]/Table2[[#This Row],[group size2]],"")</f>
        <v>0</v>
      </c>
      <c r="P66" s="32">
        <f>_xlfn.IFNA(VLOOKUP(Table2[[#This Row],[Name]],'Summer FD - players'!$A$2:$B$65,2,FALSE),"")</f>
        <v>0.35694444444444445</v>
      </c>
      <c r="Q66" s="59">
        <f>IF(Table2[[#This Row],[tee time3]]&lt;&gt;"",COUNTIF('Summer FD - players'!$B$2:$B$65,"="&amp;Table2[[#This Row],[tee time3]]),"")</f>
        <v>4</v>
      </c>
      <c r="R66" s="59">
        <f>_xlfn.IFNA(VLOOKUP(Table2[[#This Row],[tee time3]],'Summer FD - groups'!$A$3:$F$20,6,FALSE),"")</f>
        <v>48</v>
      </c>
      <c r="S66" s="4">
        <f>_xlfn.IFNA(VLOOKUP(Table2[[#This Row],[tee time3]],'Summer FD - groups'!$A$3:$F$20,4,FALSE),"")</f>
        <v>0.18958333333333327</v>
      </c>
      <c r="T66" s="13">
        <f>_xlfn.IFNA(VLOOKUP(Table2[[#This Row],[tee time3]],'Summer FD - groups'!$A$3:$F$20,5,FALSE),"")</f>
        <v>5.5555555555555358E-3</v>
      </c>
      <c r="U66" s="69">
        <f>IF(Table2[[#This Row],[avg gap]]&lt;&gt;"",IFERROR((MAX(starting_interval,IF(Table2[[#This Row],[gap3]]="NA",Table2[[#This Row],[avg gap]],Table2[[#This Row],[gap3]]))-starting_interval)*Table2[[#This Row],[followers3]]/Table2[[#This Row],[group size3]],""),"")</f>
        <v>0</v>
      </c>
      <c r="V66" s="32">
        <f>_xlfn.IFNA(VLOOKUP(Table2[[#This Row],[Name]],'6-6-6 - players'!$A$2:$B$69,2,FALSE),"")</f>
        <v>0.4375</v>
      </c>
      <c r="W66" s="59">
        <f>IF(Table2[[#This Row],[tee time4]]&lt;&gt;"",COUNTIF('6-6-6 - players'!$B$2:$B$69,"="&amp;Table2[[#This Row],[tee time4]]),"")</f>
        <v>4</v>
      </c>
      <c r="X66" s="59">
        <f>_xlfn.IFNA(VLOOKUP(Table2[[#This Row],[tee time4]],'6-6-6 - groups'!$A$3:$F$20,6,FALSE),"")</f>
        <v>8</v>
      </c>
      <c r="Y66" s="4">
        <f>_xlfn.IFNA(VLOOKUP(Table2[[#This Row],[tee time4]],'6-6-6 - groups'!$A$3:$F$20,4,FALSE),"")</f>
        <v>0.18402777777777773</v>
      </c>
      <c r="Z66" s="13">
        <f>_xlfn.IFNA(VLOOKUP(Table2[[#This Row],[tee time4]],'6-6-6 - groups'!$A$3:$F$20,5,FALSE),"")</f>
        <v>1.3888888888888951E-2</v>
      </c>
      <c r="AA66" s="69">
        <f>IF(Table2[[#This Row],[avg gap]]&lt;&gt;"",IFERROR((MAX(starting_interval,IF(Table2[[#This Row],[gap4]]="NA",Table2[[#This Row],[avg gap]],Table2[[#This Row],[gap4]]))-starting_interval)*Table2[[#This Row],[followers4]]/Table2[[#This Row],[group size4]],""),"")</f>
        <v>1.3888888888889013E-2</v>
      </c>
      <c r="AB66" s="32">
        <f>_xlfn.IFNA(VLOOKUP(Table2[[#This Row],[Name]],'Fall FD - players'!$A$2:$B$65,2,FALSE),"")</f>
        <v>0.42083333333333334</v>
      </c>
      <c r="AC66" s="59">
        <f>IF(Table2[[#This Row],[tee time5]]&lt;&gt;"",COUNTIF('Fall FD - players'!$B$2:$B$65,"="&amp;Table2[[#This Row],[tee time5]]),"")</f>
        <v>3</v>
      </c>
      <c r="AD66" s="59">
        <f>_xlfn.IFNA(VLOOKUP(Table2[[#This Row],[tee time5]],'Fall FD - groups'!$A$3:$F$20,6,FALSE),"")</f>
        <v>20</v>
      </c>
      <c r="AE66" s="4">
        <f>_xlfn.IFNA(VLOOKUP(Table2[[#This Row],[tee time5]],'Fall FD - groups'!$A$3:$F$20,4,FALSE),"")</f>
        <v>0.17916666666666664</v>
      </c>
      <c r="AF66" s="13">
        <f>IFERROR(MIN(_xlfn.IFNA(VLOOKUP(Table2[[#This Row],[tee time5]],'Fall FD - groups'!$A$3:$F$20,5,FALSE),""),starting_interval + Table2[[#This Row],[round5]] - standard_round_time),"")</f>
        <v>8.3333333333333037E-3</v>
      </c>
      <c r="AG66" s="69">
        <f>IF(AND(Table2[[#This Row],[gap5]]="NA",Table2[[#This Row],[round5]]&lt;4/24),0,IFERROR((MAX(starting_interval,IF(Table2[[#This Row],[gap5]]="NA",Table2[[#This Row],[avg gap]],Table2[[#This Row],[gap5]]))-starting_interval)*Table2[[#This Row],[followers5]]/Table2[[#This Row],[group size5]],""))</f>
        <v>9.2592592592590645E-3</v>
      </c>
      <c r="AH66" s="32">
        <f>_xlfn.IFNA(VLOOKUP(Table2[[#This Row],[Name]],'Stableford - players'!$A$2:$B$65,2,FALSE),"")</f>
        <v>0.39583333333333331</v>
      </c>
      <c r="AI66" s="59">
        <f>IF(Table2[[#This Row],[tee time6]]&lt;&gt;"",COUNTIF('Stableford - players'!$B$2:$B$65,"="&amp;Table2[[#This Row],[tee time6]]),"")</f>
        <v>3</v>
      </c>
      <c r="AJ66" s="59">
        <f>_xlfn.IFNA(VLOOKUP(Table2[[#This Row],[tee time6]],'Stableford - groups'!$A$3:$F$20,6,FALSE),"")</f>
        <v>24</v>
      </c>
      <c r="AK66" s="11">
        <f>_xlfn.IFNA(VLOOKUP(Table2[[#This Row],[tee time6]],'Stableford - groups'!$A$3:$F$20,4,FALSE),"")</f>
        <v>0.17152777777777772</v>
      </c>
      <c r="AL66" s="13">
        <f>_xlfn.IFNA(VLOOKUP(Table2[[#This Row],[tee time6]],'Stableford - groups'!$A$3:$F$20,5,FALSE),"")</f>
        <v>6.2499999999999778E-3</v>
      </c>
      <c r="AM66" s="68">
        <f>IF(AND(Table2[[#This Row],[gap6]]="NA",Table2[[#This Row],[round6]]&lt;4/24),0,IFERROR((MAX(starting_interval,IF(Table2[[#This Row],[gap6]]="NA",Table2[[#This Row],[avg gap]],Table2[[#This Row],[gap6]]))-starting_interval)*Table2[[#This Row],[followers6]]/Table2[[#This Row],[group size6]],""))</f>
        <v>0</v>
      </c>
      <c r="AN66" s="32">
        <f>_xlfn.IFNA(VLOOKUP(Table2[[#This Row],[Name]],'Turkey Shoot - players'!$A$2:$B$65,2,FALSE),"")</f>
        <v>0.44444444444444442</v>
      </c>
      <c r="AO66" s="59">
        <f>IF(Table2[[#This Row],[tee time7]]&lt;&gt;"",COUNTIF('Turkey Shoot - players'!$B$2:$B$65,"="&amp;Table2[[#This Row],[tee time7]]),"")</f>
        <v>4</v>
      </c>
      <c r="AP66" s="59" t="str">
        <f>_xlfn.IFNA(VLOOKUP(Table2[[#This Row],[tee time7]],'Stableford - groups'!$A$3:$F$20,6,FALSE),"")</f>
        <v/>
      </c>
      <c r="AQ66" s="11">
        <f>_xlfn.IFNA(VLOOKUP(Table2[[#This Row],[tee time7]],'Turkey Shoot - groups'!$A$3:$F$20,4,FALSE),"")</f>
        <v>0.18055555555555552</v>
      </c>
      <c r="AR66" s="13">
        <f>_xlfn.IFNA(VLOOKUP(Table2[[#This Row],[tee time7]],'Turkey Shoot - groups'!$A$3:$F$20,5,FALSE),"")</f>
        <v>6.9444444444444441E-3</v>
      </c>
      <c r="AS66" s="68" t="str">
        <f>IF(AND(Table2[[#This Row],[gap7]]="NA",Table2[[#This Row],[round7]]&lt;4/24),0,IFERROR((MAX(starting_interval,IF(Table2[[#This Row],[gap7]]="NA",Table2[[#This Row],[avg gap]],Table2[[#This Row],[gap7]]))-starting_interval)*Table2[[#This Row],[followers7]]/Table2[[#This Row],[group size7]],""))</f>
        <v/>
      </c>
      <c r="AT66" s="72">
        <f>COUNT(Table2[[#This Row],[Tee time1]],Table2[[#This Row],[tee time2]],Table2[[#This Row],[tee time3]],Table2[[#This Row],[tee time4]],Table2[[#This Row],[tee time5]],Table2[[#This Row],[tee time6]],Table2[[#This Row],[tee time7]])</f>
        <v>7</v>
      </c>
      <c r="AU66" s="4">
        <f>IFERROR(AVERAGE(Table2[[#This Row],[Tee time1]],Table2[[#This Row],[tee time2]],Table2[[#This Row],[tee time3]],Table2[[#This Row],[tee time4]],Table2[[#This Row],[tee time5]],Table2[[#This Row],[tee time6]],Table2[[#This Row],[tee time7]]),"")</f>
        <v>0.40763888888888883</v>
      </c>
      <c r="AV66" s="11">
        <f>IFERROR(MEDIAN(Table2[[#This Row],[round1]],Table2[[#This Row],[Round2]],Table2[[#This Row],[round3]],Table2[[#This Row],[round4]],Table2[[#This Row],[round5]],Table2[[#This Row],[round6]],Table2[[#This Row],[round7]]),"")</f>
        <v>0.18402777777777773</v>
      </c>
      <c r="AW66" s="11">
        <f>IFERROR(AVERAGE(Table2[[#This Row],[gap1]],Table2[[#This Row],[gap2]],Table2[[#This Row],[gap3]],Table2[[#This Row],[gap4]],Table2[[#This Row],[gap5]],Table2[[#This Row],[gap6]],Table2[[#This Row],[gap7]]),"")</f>
        <v>7.738095238095234E-3</v>
      </c>
      <c r="AX66" s="9">
        <f>IFERROR((Table2[[#This Row],[avg gap]]-starting_interval)*24*60*Table2[[#This Row],[Count]],"NA")</f>
        <v>7.9999999999999627</v>
      </c>
      <c r="AY6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2.3148148148148077E-2</v>
      </c>
      <c r="AZ66" s="2"/>
    </row>
    <row r="67" spans="1:52" x14ac:dyDescent="0.3">
      <c r="A67" s="10" t="s">
        <v>209</v>
      </c>
      <c r="B67" s="1" t="s">
        <v>450</v>
      </c>
      <c r="C67" s="19">
        <v>13.8</v>
      </c>
      <c r="D67" s="32" t="str">
        <f>_xlfn.IFNA(VLOOKUP(Table2[[#This Row],[Name]],'Classic day 1 - players'!$A$2:$B$64,2,FALSE),"")</f>
        <v/>
      </c>
      <c r="E67" s="33" t="str">
        <f>IF(Table2[[#This Row],[Tee time1]]&lt;&gt;"",COUNTIF('Classic day 1 - players'!$B$2:$B$64,"="&amp;Table2[[#This Row],[Tee time1]]),"")</f>
        <v/>
      </c>
      <c r="F67" s="33" t="str">
        <f>_xlfn.IFNA(VLOOKUP(Table2[[#This Row],[Tee time1]],'Classic day 1 - groups'!$A$3:$F$20,6,FALSE),"")</f>
        <v/>
      </c>
      <c r="G67" s="11" t="str">
        <f>_xlfn.IFNA(VLOOKUP(Table2[[#This Row],[Tee time1]],'Classic day 1 - groups'!$A$3:$F$20,4,FALSE),"")</f>
        <v/>
      </c>
      <c r="H67" s="12" t="str">
        <f>_xlfn.IFNA(VLOOKUP(Table2[[#This Row],[Tee time1]],'Classic day 1 - groups'!$A$3:$F$20,5,FALSE),"")</f>
        <v/>
      </c>
      <c r="I67" s="69" t="str">
        <f>IFERROR((MAX(starting_interval,IF(Table2[[#This Row],[gap1]]="NA",Table2[[#This Row],[avg gap]],Table2[[#This Row],[gap1]]))-starting_interval)*Table2[[#This Row],[followers1]]/Table2[[#This Row],[group size]],"")</f>
        <v/>
      </c>
      <c r="J67" s="32" t="str">
        <f>_xlfn.IFNA(VLOOKUP(Table2[[#This Row],[Name]],'Classic day 2 - players'!$A$2:$B$64,2,FALSE),"")</f>
        <v/>
      </c>
      <c r="K67" s="33" t="str">
        <f>IF(Table2[[#This Row],[tee time2]]&lt;&gt;"",COUNTIF('Classic day 2 - players'!$B$2:$B$64,"="&amp;Table2[[#This Row],[tee time2]]),"")</f>
        <v/>
      </c>
      <c r="L67" s="33" t="str">
        <f>_xlfn.IFNA(VLOOKUP(Table2[[#This Row],[tee time2]],'Classic day 2 - groups'!$A$3:$F$20,6,FALSE),"")</f>
        <v/>
      </c>
      <c r="M67" s="4" t="str">
        <f>_xlfn.IFNA(VLOOKUP(Table2[[#This Row],[tee time2]],'Classic day 2 - groups'!$A$3:$F$20,4,FALSE),"")</f>
        <v/>
      </c>
      <c r="N67" s="65" t="str">
        <f>_xlfn.IFNA(VLOOKUP(Table2[[#This Row],[tee time2]],'Classic day 2 - groups'!$A$3:$F$20,5,FALSE),"")</f>
        <v/>
      </c>
      <c r="O67" s="69" t="str">
        <f>IFERROR((MAX(starting_interval,IF(Table2[[#This Row],[gap2]]="NA",Table2[[#This Row],[avg gap]],Table2[[#This Row],[gap2]]))-starting_interval)*Table2[[#This Row],[followers2]]/Table2[[#This Row],[group size2]],"")</f>
        <v/>
      </c>
      <c r="P67" s="32" t="str">
        <f>_xlfn.IFNA(VLOOKUP(Table2[[#This Row],[Name]],'Summer FD - players'!$A$2:$B$65,2,FALSE),"")</f>
        <v/>
      </c>
      <c r="Q67" s="59" t="str">
        <f>IF(Table2[[#This Row],[tee time3]]&lt;&gt;"",COUNTIF('Summer FD - players'!$B$2:$B$65,"="&amp;Table2[[#This Row],[tee time3]]),"")</f>
        <v/>
      </c>
      <c r="R67" s="59" t="str">
        <f>_xlfn.IFNA(VLOOKUP(Table2[[#This Row],[tee time3]],'Summer FD - groups'!$A$3:$F$20,6,FALSE),"")</f>
        <v/>
      </c>
      <c r="S67" s="4" t="str">
        <f>_xlfn.IFNA(VLOOKUP(Table2[[#This Row],[tee time3]],'Summer FD - groups'!$A$3:$F$20,4,FALSE),"")</f>
        <v/>
      </c>
      <c r="T67" s="13" t="str">
        <f>_xlfn.IFNA(VLOOKUP(Table2[[#This Row],[tee time3]],'Summer FD - groups'!$A$3:$F$20,5,FALSE),"")</f>
        <v/>
      </c>
      <c r="U67" s="69" t="str">
        <f>IF(Table2[[#This Row],[avg gap]]&lt;&gt;"",IFERROR((MAX(starting_interval,IF(Table2[[#This Row],[gap3]]="NA",Table2[[#This Row],[avg gap]],Table2[[#This Row],[gap3]]))-starting_interval)*Table2[[#This Row],[followers3]]/Table2[[#This Row],[group size3]],""),"")</f>
        <v/>
      </c>
      <c r="V67" s="32">
        <f>_xlfn.IFNA(VLOOKUP(Table2[[#This Row],[Name]],'6-6-6 - players'!$A$2:$B$69,2,FALSE),"")</f>
        <v>0.375</v>
      </c>
      <c r="W67" s="59">
        <f>IF(Table2[[#This Row],[tee time4]]&lt;&gt;"",COUNTIF('6-6-6 - players'!$B$2:$B$69,"="&amp;Table2[[#This Row],[tee time4]]),"")</f>
        <v>4</v>
      </c>
      <c r="X67" s="59">
        <f>_xlfn.IFNA(VLOOKUP(Table2[[#This Row],[tee time4]],'6-6-6 - groups'!$A$3:$F$20,6,FALSE),"")</f>
        <v>44</v>
      </c>
      <c r="Y67" s="4">
        <f>_xlfn.IFNA(VLOOKUP(Table2[[#This Row],[tee time4]],'6-6-6 - groups'!$A$3:$F$20,4,FALSE),"")</f>
        <v>0.17638888888888898</v>
      </c>
      <c r="Z67" s="13">
        <f>_xlfn.IFNA(VLOOKUP(Table2[[#This Row],[tee time4]],'6-6-6 - groups'!$A$3:$F$20,5,FALSE),"")</f>
        <v>9.0277777777778567E-3</v>
      </c>
      <c r="AA67" s="69">
        <f>IF(Table2[[#This Row],[avg gap]]&lt;&gt;"",IFERROR((MAX(starting_interval,IF(Table2[[#This Row],[gap4]]="NA",Table2[[#This Row],[avg gap]],Table2[[#This Row],[gap4]]))-starting_interval)*Table2[[#This Row],[followers4]]/Table2[[#This Row],[group size4]],""),"")</f>
        <v>2.2916666666667539E-2</v>
      </c>
      <c r="AB67" s="32" t="str">
        <f>_xlfn.IFNA(VLOOKUP(Table2[[#This Row],[Name]],'Fall FD - players'!$A$2:$B$65,2,FALSE),"")</f>
        <v/>
      </c>
      <c r="AC67" s="59" t="str">
        <f>IF(Table2[[#This Row],[tee time5]]&lt;&gt;"",COUNTIF('Fall FD - players'!$B$2:$B$65,"="&amp;Table2[[#This Row],[tee time5]]),"")</f>
        <v/>
      </c>
      <c r="AD67" s="59" t="str">
        <f>_xlfn.IFNA(VLOOKUP(Table2[[#This Row],[tee time5]],'Fall FD - groups'!$A$3:$F$20,6,FALSE),"")</f>
        <v/>
      </c>
      <c r="AE67" s="4" t="str">
        <f>_xlfn.IFNA(VLOOKUP(Table2[[#This Row],[tee time5]],'Fall FD - groups'!$A$3:$F$20,4,FALSE),"")</f>
        <v/>
      </c>
      <c r="AF67" s="13" t="str">
        <f>IFERROR(MIN(_xlfn.IFNA(VLOOKUP(Table2[[#This Row],[tee time5]],'Fall FD - groups'!$A$3:$F$20,5,FALSE),""),starting_interval + Table2[[#This Row],[round5]] - standard_round_time),"")</f>
        <v/>
      </c>
      <c r="AG67" s="69" t="str">
        <f>IF(AND(Table2[[#This Row],[gap5]]="NA",Table2[[#This Row],[round5]]&lt;4/24),0,IFERROR((MAX(starting_interval,IF(Table2[[#This Row],[gap5]]="NA",Table2[[#This Row],[avg gap]],Table2[[#This Row],[gap5]]))-starting_interval)*Table2[[#This Row],[followers5]]/Table2[[#This Row],[group size5]],""))</f>
        <v/>
      </c>
      <c r="AH67" s="32" t="str">
        <f>_xlfn.IFNA(VLOOKUP(Table2[[#This Row],[Name]],'Stableford - players'!$A$2:$B$65,2,FALSE),"")</f>
        <v/>
      </c>
      <c r="AI67" s="59" t="str">
        <f>IF(Table2[[#This Row],[tee time6]]&lt;&gt;"",COUNTIF('Stableford - players'!$B$2:$B$65,"="&amp;Table2[[#This Row],[tee time6]]),"")</f>
        <v/>
      </c>
      <c r="AJ67" s="59" t="str">
        <f>_xlfn.IFNA(VLOOKUP(Table2[[#This Row],[tee time6]],'Stableford - groups'!$A$3:$F$20,6,FALSE),"")</f>
        <v/>
      </c>
      <c r="AK67" s="11" t="str">
        <f>_xlfn.IFNA(VLOOKUP(Table2[[#This Row],[tee time6]],'Stableford - groups'!$A$3:$F$20,4,FALSE),"")</f>
        <v/>
      </c>
      <c r="AL67" s="13" t="str">
        <f>_xlfn.IFNA(VLOOKUP(Table2[[#This Row],[tee time6]],'Stableford - groups'!$A$3:$F$20,5,FALSE),"")</f>
        <v/>
      </c>
      <c r="AM67" s="68" t="str">
        <f>IF(AND(Table2[[#This Row],[gap6]]="NA",Table2[[#This Row],[round6]]&lt;4/24),0,IFERROR((MAX(starting_interval,IF(Table2[[#This Row],[gap6]]="NA",Table2[[#This Row],[avg gap]],Table2[[#This Row],[gap6]]))-starting_interval)*Table2[[#This Row],[followers6]]/Table2[[#This Row],[group size6]],""))</f>
        <v/>
      </c>
      <c r="AN67" s="32" t="str">
        <f>_xlfn.IFNA(VLOOKUP(Table2[[#This Row],[Name]],'Turkey Shoot - players'!$A$2:$B$65,2,FALSE),"")</f>
        <v/>
      </c>
      <c r="AO67" s="59" t="str">
        <f>IF(Table2[[#This Row],[tee time7]]&lt;&gt;"",COUNTIF('Turkey Shoot - players'!$B$2:$B$65,"="&amp;Table2[[#This Row],[tee time7]]),"")</f>
        <v/>
      </c>
      <c r="AP67" s="59" t="str">
        <f>_xlfn.IFNA(VLOOKUP(Table2[[#This Row],[tee time7]],'Stableford - groups'!$A$3:$F$20,6,FALSE),"")</f>
        <v/>
      </c>
      <c r="AQ67" s="11" t="str">
        <f>_xlfn.IFNA(VLOOKUP(Table2[[#This Row],[tee time7]],'Turkey Shoot - groups'!$A$3:$F$20,4,FALSE),"")</f>
        <v/>
      </c>
      <c r="AR67" s="13" t="str">
        <f>_xlfn.IFNA(VLOOKUP(Table2[[#This Row],[tee time7]],'Turkey Shoot - groups'!$A$3:$F$20,5,FALSE),"")</f>
        <v/>
      </c>
      <c r="AS67" s="68" t="str">
        <f>IF(AND(Table2[[#This Row],[gap7]]="NA",Table2[[#This Row],[round7]]&lt;4/24),0,IFERROR((MAX(starting_interval,IF(Table2[[#This Row],[gap7]]="NA",Table2[[#This Row],[avg gap]],Table2[[#This Row],[gap7]]))-starting_interval)*Table2[[#This Row],[followers7]]/Table2[[#This Row],[group size7]],""))</f>
        <v/>
      </c>
      <c r="AT67" s="72">
        <f>COUNT(Table2[[#This Row],[Tee time1]],Table2[[#This Row],[tee time2]],Table2[[#This Row],[tee time3]],Table2[[#This Row],[tee time4]],Table2[[#This Row],[tee time5]],Table2[[#This Row],[tee time6]],Table2[[#This Row],[tee time7]])</f>
        <v>1</v>
      </c>
      <c r="AU67" s="4">
        <f>IFERROR(AVERAGE(Table2[[#This Row],[Tee time1]],Table2[[#This Row],[tee time2]],Table2[[#This Row],[tee time3]],Table2[[#This Row],[tee time4]],Table2[[#This Row],[tee time5]],Table2[[#This Row],[tee time6]],Table2[[#This Row],[tee time7]]),"")</f>
        <v>0.375</v>
      </c>
      <c r="AV67" s="11">
        <f>IFERROR(MEDIAN(Table2[[#This Row],[round1]],Table2[[#This Row],[Round2]],Table2[[#This Row],[round3]],Table2[[#This Row],[round4]],Table2[[#This Row],[round5]],Table2[[#This Row],[round6]],Table2[[#This Row],[round7]]),"")</f>
        <v>0.17638888888888898</v>
      </c>
      <c r="AW67" s="11">
        <f>IFERROR(AVERAGE(Table2[[#This Row],[gap1]],Table2[[#This Row],[gap2]],Table2[[#This Row],[gap3]],Table2[[#This Row],[gap4]],Table2[[#This Row],[gap5]],Table2[[#This Row],[gap6]],Table2[[#This Row],[gap7]]),"")</f>
        <v>9.0277777777778567E-3</v>
      </c>
      <c r="AX67" s="9">
        <f>IFERROR((Table2[[#This Row],[avg gap]]-starting_interval)*24*60*Table2[[#This Row],[Count]],"NA")</f>
        <v>3.0000000000001141</v>
      </c>
      <c r="AY6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2.2916666666667539E-2</v>
      </c>
      <c r="AZ67" s="2"/>
    </row>
    <row r="68" spans="1:52" x14ac:dyDescent="0.3">
      <c r="A68" s="10" t="s">
        <v>17</v>
      </c>
      <c r="B68" s="1" t="s">
        <v>255</v>
      </c>
      <c r="C68" s="19">
        <v>26.3</v>
      </c>
      <c r="D68" s="32" t="str">
        <f>_xlfn.IFNA(VLOOKUP(Table2[[#This Row],[Name]],'Classic day 1 - players'!$A$2:$B$64,2,FALSE),"")</f>
        <v/>
      </c>
      <c r="E68" s="33" t="str">
        <f>IF(Table2[[#This Row],[Tee time1]]&lt;&gt;"",COUNTIF('Classic day 1 - players'!$B$2:$B$64,"="&amp;Table2[[#This Row],[Tee time1]]),"")</f>
        <v/>
      </c>
      <c r="F68" s="33" t="str">
        <f>_xlfn.IFNA(VLOOKUP(Table2[[#This Row],[Tee time1]],'Classic day 1 - groups'!$A$3:$F$20,6,FALSE),"")</f>
        <v/>
      </c>
      <c r="G68" s="11" t="str">
        <f>_xlfn.IFNA(VLOOKUP(Table2[[#This Row],[Tee time1]],'Classic day 1 - groups'!$A$3:$F$20,4,FALSE),"")</f>
        <v/>
      </c>
      <c r="H68" s="12" t="str">
        <f>_xlfn.IFNA(VLOOKUP(Table2[[#This Row],[Tee time1]],'Classic day 1 - groups'!$A$3:$F$20,5,FALSE),"")</f>
        <v/>
      </c>
      <c r="I68" s="69" t="str">
        <f>IFERROR((MAX(starting_interval,IF(Table2[[#This Row],[gap1]]="NA",Table2[[#This Row],[avg gap]],Table2[[#This Row],[gap1]]))-starting_interval)*Table2[[#This Row],[followers1]]/Table2[[#This Row],[group size]],"")</f>
        <v/>
      </c>
      <c r="J68" s="32" t="str">
        <f>_xlfn.IFNA(VLOOKUP(Table2[[#This Row],[Name]],'Classic day 2 - players'!$A$2:$B$64,2,FALSE),"")</f>
        <v/>
      </c>
      <c r="K68" s="33" t="str">
        <f>IF(Table2[[#This Row],[tee time2]]&lt;&gt;"",COUNTIF('Classic day 2 - players'!$B$2:$B$64,"="&amp;Table2[[#This Row],[tee time2]]),"")</f>
        <v/>
      </c>
      <c r="L68" s="33" t="str">
        <f>_xlfn.IFNA(VLOOKUP(Table2[[#This Row],[tee time2]],'Classic day 2 - groups'!$A$3:$F$20,6,FALSE),"")</f>
        <v/>
      </c>
      <c r="M68" s="4" t="str">
        <f>_xlfn.IFNA(VLOOKUP(Table2[[#This Row],[tee time2]],'Classic day 2 - groups'!$A$3:$F$20,4,FALSE),"")</f>
        <v/>
      </c>
      <c r="N68" s="65" t="str">
        <f>_xlfn.IFNA(VLOOKUP(Table2[[#This Row],[tee time2]],'Classic day 2 - groups'!$A$3:$F$20,5,FALSE),"")</f>
        <v/>
      </c>
      <c r="O68" s="69" t="str">
        <f>IFERROR((MAX(starting_interval,IF(Table2[[#This Row],[gap2]]="NA",Table2[[#This Row],[avg gap]],Table2[[#This Row],[gap2]]))-starting_interval)*Table2[[#This Row],[followers2]]/Table2[[#This Row],[group size2]],"")</f>
        <v/>
      </c>
      <c r="P68" s="32" t="str">
        <f>_xlfn.IFNA(VLOOKUP(Table2[[#This Row],[Name]],'Summer FD - players'!$A$2:$B$65,2,FALSE),"")</f>
        <v/>
      </c>
      <c r="Q68" s="59" t="str">
        <f>IF(Table2[[#This Row],[tee time3]]&lt;&gt;"",COUNTIF('Summer FD - players'!$B$2:$B$65,"="&amp;Table2[[#This Row],[tee time3]]),"")</f>
        <v/>
      </c>
      <c r="R68" s="59" t="str">
        <f>_xlfn.IFNA(VLOOKUP(Table2[[#This Row],[tee time3]],'Summer FD - groups'!$A$3:$F$20,6,FALSE),"")</f>
        <v/>
      </c>
      <c r="S68" s="4" t="str">
        <f>_xlfn.IFNA(VLOOKUP(Table2[[#This Row],[tee time3]],'Summer FD - groups'!$A$3:$F$20,4,FALSE),"")</f>
        <v/>
      </c>
      <c r="T68" s="13" t="str">
        <f>_xlfn.IFNA(VLOOKUP(Table2[[#This Row],[tee time3]],'Summer FD - groups'!$A$3:$F$20,5,FALSE),"")</f>
        <v/>
      </c>
      <c r="U68" s="69" t="str">
        <f>IF(Table2[[#This Row],[avg gap]]&lt;&gt;"",IFERROR((MAX(starting_interval,IF(Table2[[#This Row],[gap3]]="NA",Table2[[#This Row],[avg gap]],Table2[[#This Row],[gap3]]))-starting_interval)*Table2[[#This Row],[followers3]]/Table2[[#This Row],[group size3]],""),"")</f>
        <v/>
      </c>
      <c r="V68" s="32">
        <f>_xlfn.IFNA(VLOOKUP(Table2[[#This Row],[Name]],'6-6-6 - players'!$A$2:$B$69,2,FALSE),"")</f>
        <v>0.375</v>
      </c>
      <c r="W68" s="59">
        <f>IF(Table2[[#This Row],[tee time4]]&lt;&gt;"",COUNTIF('6-6-6 - players'!$B$2:$B$69,"="&amp;Table2[[#This Row],[tee time4]]),"")</f>
        <v>4</v>
      </c>
      <c r="X68" s="59">
        <f>_xlfn.IFNA(VLOOKUP(Table2[[#This Row],[tee time4]],'6-6-6 - groups'!$A$3:$F$20,6,FALSE),"")</f>
        <v>44</v>
      </c>
      <c r="Y68" s="4">
        <f>_xlfn.IFNA(VLOOKUP(Table2[[#This Row],[tee time4]],'6-6-6 - groups'!$A$3:$F$20,4,FALSE),"")</f>
        <v>0.17638888888888898</v>
      </c>
      <c r="Z68" s="13">
        <f>_xlfn.IFNA(VLOOKUP(Table2[[#This Row],[tee time4]],'6-6-6 - groups'!$A$3:$F$20,5,FALSE),"")</f>
        <v>9.0277777777778567E-3</v>
      </c>
      <c r="AA68" s="69">
        <f>IF(Table2[[#This Row],[avg gap]]&lt;&gt;"",IFERROR((MAX(starting_interval,IF(Table2[[#This Row],[gap4]]="NA",Table2[[#This Row],[avg gap]],Table2[[#This Row],[gap4]]))-starting_interval)*Table2[[#This Row],[followers4]]/Table2[[#This Row],[group size4]],""),"")</f>
        <v>2.2916666666667539E-2</v>
      </c>
      <c r="AB68" s="32" t="str">
        <f>_xlfn.IFNA(VLOOKUP(Table2[[#This Row],[Name]],'Fall FD - players'!$A$2:$B$65,2,FALSE),"")</f>
        <v/>
      </c>
      <c r="AC68" s="59" t="str">
        <f>IF(Table2[[#This Row],[tee time5]]&lt;&gt;"",COUNTIF('Fall FD - players'!$B$2:$B$65,"="&amp;Table2[[#This Row],[tee time5]]),"")</f>
        <v/>
      </c>
      <c r="AD68" s="59" t="str">
        <f>_xlfn.IFNA(VLOOKUP(Table2[[#This Row],[tee time5]],'Fall FD - groups'!$A$3:$F$20,6,FALSE),"")</f>
        <v/>
      </c>
      <c r="AE68" s="4" t="str">
        <f>_xlfn.IFNA(VLOOKUP(Table2[[#This Row],[tee time5]],'Fall FD - groups'!$A$3:$F$20,4,FALSE),"")</f>
        <v/>
      </c>
      <c r="AF68" s="13" t="str">
        <f>IFERROR(MIN(_xlfn.IFNA(VLOOKUP(Table2[[#This Row],[tee time5]],'Fall FD - groups'!$A$3:$F$20,5,FALSE),""),starting_interval + Table2[[#This Row],[round5]] - standard_round_time),"")</f>
        <v/>
      </c>
      <c r="AG68" s="69" t="str">
        <f>IF(AND(Table2[[#This Row],[gap5]]="NA",Table2[[#This Row],[round5]]&lt;4/24),0,IFERROR((MAX(starting_interval,IF(Table2[[#This Row],[gap5]]="NA",Table2[[#This Row],[avg gap]],Table2[[#This Row],[gap5]]))-starting_interval)*Table2[[#This Row],[followers5]]/Table2[[#This Row],[group size5]],""))</f>
        <v/>
      </c>
      <c r="AH68" s="32">
        <f>_xlfn.IFNA(VLOOKUP(Table2[[#This Row],[Name]],'Stableford - players'!$A$2:$B$65,2,FALSE),"")</f>
        <v>0.34722222222222227</v>
      </c>
      <c r="AI68" s="59">
        <f>IF(Table2[[#This Row],[tee time6]]&lt;&gt;"",COUNTIF('Stableford - players'!$B$2:$B$65,"="&amp;Table2[[#This Row],[tee time6]]),"")</f>
        <v>4</v>
      </c>
      <c r="AJ68" s="59">
        <f>_xlfn.IFNA(VLOOKUP(Table2[[#This Row],[tee time6]],'Stableford - groups'!$A$3:$F$20,6,FALSE),"")</f>
        <v>52</v>
      </c>
      <c r="AK68" s="11">
        <f>_xlfn.IFNA(VLOOKUP(Table2[[#This Row],[tee time6]],'Stableford - groups'!$A$3:$F$20,4,FALSE),"")</f>
        <v>0.1694444444444444</v>
      </c>
      <c r="AL68" s="13">
        <f>_xlfn.IFNA(VLOOKUP(Table2[[#This Row],[tee time6]],'Stableford - groups'!$A$3:$F$20,5,FALSE),"")</f>
        <v>5.5555555555555358E-3</v>
      </c>
      <c r="AM68" s="68">
        <f>IF(AND(Table2[[#This Row],[gap6]]="NA",Table2[[#This Row],[round6]]&lt;4/24),0,IFERROR((MAX(starting_interval,IF(Table2[[#This Row],[gap6]]="NA",Table2[[#This Row],[avg gap]],Table2[[#This Row],[gap6]]))-starting_interval)*Table2[[#This Row],[followers6]]/Table2[[#This Row],[group size6]],""))</f>
        <v>0</v>
      </c>
      <c r="AN68" s="32">
        <f>_xlfn.IFNA(VLOOKUP(Table2[[#This Row],[Name]],'Turkey Shoot - players'!$A$2:$B$65,2,FALSE),"")</f>
        <v>0.375</v>
      </c>
      <c r="AO68" s="59">
        <f>IF(Table2[[#This Row],[tee time7]]&lt;&gt;"",COUNTIF('Turkey Shoot - players'!$B$2:$B$65,"="&amp;Table2[[#This Row],[tee time7]]),"")</f>
        <v>3</v>
      </c>
      <c r="AP68" s="59">
        <f>_xlfn.IFNA(VLOOKUP(Table2[[#This Row],[tee time7]],'Stableford - groups'!$A$3:$F$20,6,FALSE),"")</f>
        <v>36</v>
      </c>
      <c r="AQ68" s="11">
        <f>_xlfn.IFNA(VLOOKUP(Table2[[#This Row],[tee time7]],'Turkey Shoot - groups'!$A$3:$F$20,4,FALSE),"")</f>
        <v>0.16875000000000007</v>
      </c>
      <c r="AR68" s="13">
        <f>_xlfn.IFNA(VLOOKUP(Table2[[#This Row],[tee time7]],'Turkey Shoot - groups'!$A$3:$F$20,5,FALSE),"")</f>
        <v>4.1666666666666666E-3</v>
      </c>
      <c r="AS68" s="68">
        <f>IF(AND(Table2[[#This Row],[gap7]]="NA",Table2[[#This Row],[round7]]&lt;4/24),0,IFERROR((MAX(starting_interval,IF(Table2[[#This Row],[gap7]]="NA",Table2[[#This Row],[avg gap]],Table2[[#This Row],[gap7]]))-starting_interval)*Table2[[#This Row],[followers7]]/Table2[[#This Row],[group size7]],""))</f>
        <v>0</v>
      </c>
      <c r="AT68" s="72">
        <f>COUNT(Table2[[#This Row],[Tee time1]],Table2[[#This Row],[tee time2]],Table2[[#This Row],[tee time3]],Table2[[#This Row],[tee time4]],Table2[[#This Row],[tee time5]],Table2[[#This Row],[tee time6]],Table2[[#This Row],[tee time7]])</f>
        <v>3</v>
      </c>
      <c r="AU68" s="4">
        <f>IFERROR(AVERAGE(Table2[[#This Row],[Tee time1]],Table2[[#This Row],[tee time2]],Table2[[#This Row],[tee time3]],Table2[[#This Row],[tee time4]],Table2[[#This Row],[tee time5]],Table2[[#This Row],[tee time6]],Table2[[#This Row],[tee time7]]),"")</f>
        <v>0.36574074074074076</v>
      </c>
      <c r="AV68" s="11">
        <f>IFERROR(MEDIAN(Table2[[#This Row],[round1]],Table2[[#This Row],[Round2]],Table2[[#This Row],[round3]],Table2[[#This Row],[round4]],Table2[[#This Row],[round5]],Table2[[#This Row],[round6]],Table2[[#This Row],[round7]]),"")</f>
        <v>0.1694444444444444</v>
      </c>
      <c r="AW68" s="11">
        <f>IFERROR(AVERAGE(Table2[[#This Row],[gap1]],Table2[[#This Row],[gap2]],Table2[[#This Row],[gap3]],Table2[[#This Row],[gap4]],Table2[[#This Row],[gap5]],Table2[[#This Row],[gap6]],Table2[[#This Row],[gap7]]),"")</f>
        <v>6.2500000000000194E-3</v>
      </c>
      <c r="AX68" s="9">
        <f>IFERROR((Table2[[#This Row],[avg gap]]-starting_interval)*24*60*Table2[[#This Row],[Count]],"NA")</f>
        <v>-2.9999999999999143</v>
      </c>
      <c r="AY6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2.2916666666667539E-2</v>
      </c>
      <c r="AZ68" s="2"/>
    </row>
    <row r="69" spans="1:52" x14ac:dyDescent="0.3">
      <c r="A69" s="10" t="s">
        <v>23</v>
      </c>
      <c r="B69" s="1" t="s">
        <v>261</v>
      </c>
      <c r="C69" s="19">
        <v>17.100000000000001</v>
      </c>
      <c r="D69" s="32" t="str">
        <f>_xlfn.IFNA(VLOOKUP(Table2[[#This Row],[Name]],'Classic day 1 - players'!$A$2:$B$64,2,FALSE),"")</f>
        <v/>
      </c>
      <c r="E69" s="33" t="str">
        <f>IF(Table2[[#This Row],[Tee time1]]&lt;&gt;"",COUNTIF('Classic day 1 - players'!$B$2:$B$64,"="&amp;Table2[[#This Row],[Tee time1]]),"")</f>
        <v/>
      </c>
      <c r="F69" s="33" t="str">
        <f>_xlfn.IFNA(VLOOKUP(Table2[[#This Row],[Tee time1]],'Classic day 1 - groups'!$A$3:$F$20,6,FALSE),"")</f>
        <v/>
      </c>
      <c r="G69" s="11" t="str">
        <f>_xlfn.IFNA(VLOOKUP(Table2[[#This Row],[Tee time1]],'Classic day 1 - groups'!$A$3:$F$20,4,FALSE),"")</f>
        <v/>
      </c>
      <c r="H69" s="12" t="str">
        <f>_xlfn.IFNA(VLOOKUP(Table2[[#This Row],[Tee time1]],'Classic day 1 - groups'!$A$3:$F$20,5,FALSE),"")</f>
        <v/>
      </c>
      <c r="I69" s="69" t="str">
        <f>IFERROR((MAX(starting_interval,IF(Table2[[#This Row],[gap1]]="NA",Table2[[#This Row],[avg gap]],Table2[[#This Row],[gap1]]))-starting_interval)*Table2[[#This Row],[followers1]]/Table2[[#This Row],[group size]],"")</f>
        <v/>
      </c>
      <c r="J69" s="32" t="str">
        <f>_xlfn.IFNA(VLOOKUP(Table2[[#This Row],[Name]],'Classic day 2 - players'!$A$2:$B$64,2,FALSE),"")</f>
        <v/>
      </c>
      <c r="K69" s="33" t="str">
        <f>IF(Table2[[#This Row],[tee time2]]&lt;&gt;"",COUNTIF('Classic day 2 - players'!$B$2:$B$64,"="&amp;Table2[[#This Row],[tee time2]]),"")</f>
        <v/>
      </c>
      <c r="L69" s="33" t="str">
        <f>_xlfn.IFNA(VLOOKUP(Table2[[#This Row],[tee time2]],'Classic day 2 - groups'!$A$3:$F$20,6,FALSE),"")</f>
        <v/>
      </c>
      <c r="M69" s="4" t="str">
        <f>_xlfn.IFNA(VLOOKUP(Table2[[#This Row],[tee time2]],'Classic day 2 - groups'!$A$3:$F$20,4,FALSE),"")</f>
        <v/>
      </c>
      <c r="N69" s="65" t="str">
        <f>_xlfn.IFNA(VLOOKUP(Table2[[#This Row],[tee time2]],'Classic day 2 - groups'!$A$3:$F$20,5,FALSE),"")</f>
        <v/>
      </c>
      <c r="O69" s="69" t="str">
        <f>IFERROR((MAX(starting_interval,IF(Table2[[#This Row],[gap2]]="NA",Table2[[#This Row],[avg gap]],Table2[[#This Row],[gap2]]))-starting_interval)*Table2[[#This Row],[followers2]]/Table2[[#This Row],[group size2]],"")</f>
        <v/>
      </c>
      <c r="P69" s="32">
        <f>_xlfn.IFNA(VLOOKUP(Table2[[#This Row],[Name]],'Summer FD - players'!$A$2:$B$65,2,FALSE),"")</f>
        <v>0.37083333333333335</v>
      </c>
      <c r="Q69" s="59">
        <f>IF(Table2[[#This Row],[tee time3]]&lt;&gt;"",COUNTIF('Summer FD - players'!$B$2:$B$65,"="&amp;Table2[[#This Row],[tee time3]]),"")</f>
        <v>4</v>
      </c>
      <c r="R69" s="59">
        <f>_xlfn.IFNA(VLOOKUP(Table2[[#This Row],[tee time3]],'Summer FD - groups'!$A$3:$F$20,6,FALSE),"")</f>
        <v>40</v>
      </c>
      <c r="S69" s="4">
        <f>_xlfn.IFNA(VLOOKUP(Table2[[#This Row],[tee time3]],'Summer FD - groups'!$A$3:$F$20,4,FALSE),"")</f>
        <v>0.18958333333333333</v>
      </c>
      <c r="T69" s="13">
        <f>_xlfn.IFNA(VLOOKUP(Table2[[#This Row],[tee time3]],'Summer FD - groups'!$A$3:$F$20,5,FALSE),"")</f>
        <v>9.0277777777778567E-3</v>
      </c>
      <c r="U69" s="69">
        <f>IF(Table2[[#This Row],[avg gap]]&lt;&gt;"",IFERROR((MAX(starting_interval,IF(Table2[[#This Row],[gap3]]="NA",Table2[[#This Row],[avg gap]],Table2[[#This Row],[gap3]]))-starting_interval)*Table2[[#This Row],[followers3]]/Table2[[#This Row],[group size3]],""),"")</f>
        <v>2.0833333333334127E-2</v>
      </c>
      <c r="V69" s="32" t="str">
        <f>_xlfn.IFNA(VLOOKUP(Table2[[#This Row],[Name]],'6-6-6 - players'!$A$2:$B$69,2,FALSE),"")</f>
        <v/>
      </c>
      <c r="W69" s="59" t="str">
        <f>IF(Table2[[#This Row],[tee time4]]&lt;&gt;"",COUNTIF('6-6-6 - players'!$B$2:$B$69,"="&amp;Table2[[#This Row],[tee time4]]),"")</f>
        <v/>
      </c>
      <c r="X69" s="59" t="str">
        <f>_xlfn.IFNA(VLOOKUP(Table2[[#This Row],[tee time4]],'6-6-6 - groups'!$A$3:$F$20,6,FALSE),"")</f>
        <v/>
      </c>
      <c r="Y69" s="4" t="str">
        <f>_xlfn.IFNA(VLOOKUP(Table2[[#This Row],[tee time4]],'6-6-6 - groups'!$A$3:$F$20,4,FALSE),"")</f>
        <v/>
      </c>
      <c r="Z69" s="13" t="str">
        <f>_xlfn.IFNA(VLOOKUP(Table2[[#This Row],[tee time4]],'6-6-6 - groups'!$A$3:$F$20,5,FALSE),"")</f>
        <v/>
      </c>
      <c r="AA69" s="69" t="str">
        <f>IF(Table2[[#This Row],[avg gap]]&lt;&gt;"",IFERROR((MAX(starting_interval,IF(Table2[[#This Row],[gap4]]="NA",Table2[[#This Row],[avg gap]],Table2[[#This Row],[gap4]]))-starting_interval)*Table2[[#This Row],[followers4]]/Table2[[#This Row],[group size4]],""),"")</f>
        <v/>
      </c>
      <c r="AB69" s="32" t="str">
        <f>_xlfn.IFNA(VLOOKUP(Table2[[#This Row],[Name]],'Fall FD - players'!$A$2:$B$65,2,FALSE),"")</f>
        <v/>
      </c>
      <c r="AC69" s="59" t="str">
        <f>IF(Table2[[#This Row],[tee time5]]&lt;&gt;"",COUNTIF('Fall FD - players'!$B$2:$B$65,"="&amp;Table2[[#This Row],[tee time5]]),"")</f>
        <v/>
      </c>
      <c r="AD69" s="59" t="str">
        <f>_xlfn.IFNA(VLOOKUP(Table2[[#This Row],[tee time5]],'Fall FD - groups'!$A$3:$F$20,6,FALSE),"")</f>
        <v/>
      </c>
      <c r="AE69" s="4" t="str">
        <f>_xlfn.IFNA(VLOOKUP(Table2[[#This Row],[tee time5]],'Fall FD - groups'!$A$3:$F$20,4,FALSE),"")</f>
        <v/>
      </c>
      <c r="AF69" s="13" t="str">
        <f>IFERROR(MIN(_xlfn.IFNA(VLOOKUP(Table2[[#This Row],[tee time5]],'Fall FD - groups'!$A$3:$F$20,5,FALSE),""),starting_interval + Table2[[#This Row],[round5]] - standard_round_time),"")</f>
        <v/>
      </c>
      <c r="AG69" s="69" t="str">
        <f>IF(AND(Table2[[#This Row],[gap5]]="NA",Table2[[#This Row],[round5]]&lt;4/24),0,IFERROR((MAX(starting_interval,IF(Table2[[#This Row],[gap5]]="NA",Table2[[#This Row],[avg gap]],Table2[[#This Row],[gap5]]))-starting_interval)*Table2[[#This Row],[followers5]]/Table2[[#This Row],[group size5]],""))</f>
        <v/>
      </c>
      <c r="AH69" s="32" t="str">
        <f>_xlfn.IFNA(VLOOKUP(Table2[[#This Row],[Name]],'Stableford - players'!$A$2:$B$65,2,FALSE),"")</f>
        <v/>
      </c>
      <c r="AI69" s="59" t="str">
        <f>IF(Table2[[#This Row],[tee time6]]&lt;&gt;"",COUNTIF('Stableford - players'!$B$2:$B$65,"="&amp;Table2[[#This Row],[tee time6]]),"")</f>
        <v/>
      </c>
      <c r="AJ69" s="59" t="str">
        <f>_xlfn.IFNA(VLOOKUP(Table2[[#This Row],[tee time6]],'Stableford - groups'!$A$3:$F$20,6,FALSE),"")</f>
        <v/>
      </c>
      <c r="AK69" s="11" t="str">
        <f>_xlfn.IFNA(VLOOKUP(Table2[[#This Row],[tee time6]],'Stableford - groups'!$A$3:$F$20,4,FALSE),"")</f>
        <v/>
      </c>
      <c r="AL69" s="13" t="str">
        <f>_xlfn.IFNA(VLOOKUP(Table2[[#This Row],[tee time6]],'Stableford - groups'!$A$3:$F$20,5,FALSE),"")</f>
        <v/>
      </c>
      <c r="AM69" s="68" t="str">
        <f>IF(AND(Table2[[#This Row],[gap6]]="NA",Table2[[#This Row],[round6]]&lt;4/24),0,IFERROR((MAX(starting_interval,IF(Table2[[#This Row],[gap6]]="NA",Table2[[#This Row],[avg gap]],Table2[[#This Row],[gap6]]))-starting_interval)*Table2[[#This Row],[followers6]]/Table2[[#This Row],[group size6]],""))</f>
        <v/>
      </c>
      <c r="AN69" s="32" t="str">
        <f>_xlfn.IFNA(VLOOKUP(Table2[[#This Row],[Name]],'Turkey Shoot - players'!$A$2:$B$65,2,FALSE),"")</f>
        <v/>
      </c>
      <c r="AO69" s="59" t="str">
        <f>IF(Table2[[#This Row],[tee time7]]&lt;&gt;"",COUNTIF('Turkey Shoot - players'!$B$2:$B$65,"="&amp;Table2[[#This Row],[tee time7]]),"")</f>
        <v/>
      </c>
      <c r="AP69" s="59" t="str">
        <f>_xlfn.IFNA(VLOOKUP(Table2[[#This Row],[tee time7]],'Stableford - groups'!$A$3:$F$20,6,FALSE),"")</f>
        <v/>
      </c>
      <c r="AQ69" s="11" t="str">
        <f>_xlfn.IFNA(VLOOKUP(Table2[[#This Row],[tee time7]],'Turkey Shoot - groups'!$A$3:$F$20,4,FALSE),"")</f>
        <v/>
      </c>
      <c r="AR69" s="13" t="str">
        <f>_xlfn.IFNA(VLOOKUP(Table2[[#This Row],[tee time7]],'Turkey Shoot - groups'!$A$3:$F$20,5,FALSE),"")</f>
        <v/>
      </c>
      <c r="AS69" s="68" t="str">
        <f>IF(AND(Table2[[#This Row],[gap7]]="NA",Table2[[#This Row],[round7]]&lt;4/24),0,IFERROR((MAX(starting_interval,IF(Table2[[#This Row],[gap7]]="NA",Table2[[#This Row],[avg gap]],Table2[[#This Row],[gap7]]))-starting_interval)*Table2[[#This Row],[followers7]]/Table2[[#This Row],[group size7]],""))</f>
        <v/>
      </c>
      <c r="AT69" s="72">
        <f>COUNT(Table2[[#This Row],[Tee time1]],Table2[[#This Row],[tee time2]],Table2[[#This Row],[tee time3]],Table2[[#This Row],[tee time4]],Table2[[#This Row],[tee time5]],Table2[[#This Row],[tee time6]],Table2[[#This Row],[tee time7]])</f>
        <v>1</v>
      </c>
      <c r="AU69" s="4">
        <f>IFERROR(AVERAGE(Table2[[#This Row],[Tee time1]],Table2[[#This Row],[tee time2]],Table2[[#This Row],[tee time3]],Table2[[#This Row],[tee time4]],Table2[[#This Row],[tee time5]],Table2[[#This Row],[tee time6]],Table2[[#This Row],[tee time7]]),"")</f>
        <v>0.37083333333333335</v>
      </c>
      <c r="AV69" s="11">
        <f>IFERROR(MEDIAN(Table2[[#This Row],[round1]],Table2[[#This Row],[Round2]],Table2[[#This Row],[round3]],Table2[[#This Row],[round4]],Table2[[#This Row],[round5]],Table2[[#This Row],[round6]],Table2[[#This Row],[round7]]),"")</f>
        <v>0.18958333333333333</v>
      </c>
      <c r="AW69" s="11">
        <f>IFERROR(AVERAGE(Table2[[#This Row],[gap1]],Table2[[#This Row],[gap2]],Table2[[#This Row],[gap3]],Table2[[#This Row],[gap4]],Table2[[#This Row],[gap5]],Table2[[#This Row],[gap6]],Table2[[#This Row],[gap7]]),"")</f>
        <v>9.0277777777778567E-3</v>
      </c>
      <c r="AX69" s="9">
        <f>IFERROR((Table2[[#This Row],[avg gap]]-starting_interval)*24*60*Table2[[#This Row],[Count]],"NA")</f>
        <v>3.0000000000001141</v>
      </c>
      <c r="AY6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2.0833333333334127E-2</v>
      </c>
      <c r="AZ69" s="2"/>
    </row>
    <row r="70" spans="1:52" x14ac:dyDescent="0.3">
      <c r="A70" s="10" t="s">
        <v>152</v>
      </c>
      <c r="B70" s="1" t="s">
        <v>393</v>
      </c>
      <c r="C70" s="19">
        <v>17.100000000000001</v>
      </c>
      <c r="D70" s="32">
        <f>_xlfn.IFNA(VLOOKUP(Table2[[#This Row],[Name]],'Classic day 1 - players'!$A$2:$B$64,2,FALSE),"")</f>
        <v>0.42708333333333331</v>
      </c>
      <c r="E70" s="33">
        <f>IF(Table2[[#This Row],[Tee time1]]&lt;&gt;"",COUNTIF('Classic day 1 - players'!$B$2:$B$64,"="&amp;Table2[[#This Row],[Tee time1]]),"")</f>
        <v>4</v>
      </c>
      <c r="F70" s="33">
        <f>_xlfn.IFNA(VLOOKUP(Table2[[#This Row],[Tee time1]],'Classic day 1 - groups'!$A$3:$F$20,6,FALSE),"")</f>
        <v>8</v>
      </c>
      <c r="G70" s="11">
        <f>_xlfn.IFNA(VLOOKUP(Table2[[#This Row],[Tee time1]],'Classic day 1 - groups'!$A$3:$F$20,4,FALSE),"")</f>
        <v>0.1958333333333333</v>
      </c>
      <c r="H70" s="12">
        <f>_xlfn.IFNA(VLOOKUP(Table2[[#This Row],[Tee time1]],'Classic day 1 - groups'!$A$3:$F$20,5,FALSE),"")</f>
        <v>3.4722222222222099E-3</v>
      </c>
      <c r="I70" s="69">
        <f>IFERROR((MAX(starting_interval,IF(Table2[[#This Row],[gap1]]="NA",Table2[[#This Row],[avg gap]],Table2[[#This Row],[gap1]]))-starting_interval)*Table2[[#This Row],[followers1]]/Table2[[#This Row],[group size]],"")</f>
        <v>0</v>
      </c>
      <c r="J70" s="32">
        <f>_xlfn.IFNA(VLOOKUP(Table2[[#This Row],[Name]],'Classic day 2 - players'!$A$2:$B$64,2,FALSE),"")</f>
        <v>0.33333333333333331</v>
      </c>
      <c r="K70" s="33">
        <f>IF(Table2[[#This Row],[tee time2]]&lt;&gt;"",COUNTIF('Classic day 2 - players'!$B$2:$B$64,"="&amp;Table2[[#This Row],[tee time2]]),"")</f>
        <v>4</v>
      </c>
      <c r="L70" s="33">
        <f>_xlfn.IFNA(VLOOKUP(Table2[[#This Row],[tee time2]],'Classic day 2 - groups'!$A$3:$F$20,6,FALSE),"")</f>
        <v>52</v>
      </c>
      <c r="M70" s="4">
        <f>_xlfn.IFNA(VLOOKUP(Table2[[#This Row],[tee time2]],'Classic day 2 - groups'!$A$3:$F$20,4,FALSE),"")</f>
        <v>0.16805555555555554</v>
      </c>
      <c r="N70" s="65" t="str">
        <f>_xlfn.IFNA(VLOOKUP(Table2[[#This Row],[tee time2]],'Classic day 2 - groups'!$A$3:$F$20,5,FALSE),"")</f>
        <v>NA</v>
      </c>
      <c r="O70" s="69">
        <f>IFERROR((MAX(starting_interval,IF(Table2[[#This Row],[gap2]]="NA",Table2[[#This Row],[avg gap]],Table2[[#This Row],[gap2]]))-starting_interval)*Table2[[#This Row],[followers2]]/Table2[[#This Row],[group size2]],"")</f>
        <v>0</v>
      </c>
      <c r="P70" s="32">
        <f>_xlfn.IFNA(VLOOKUP(Table2[[#This Row],[Name]],'Summer FD - players'!$A$2:$B$65,2,FALSE),"")</f>
        <v>0.37083333333333335</v>
      </c>
      <c r="Q70" s="59">
        <f>IF(Table2[[#This Row],[tee time3]]&lt;&gt;"",COUNTIF('Summer FD - players'!$B$2:$B$65,"="&amp;Table2[[#This Row],[tee time3]]),"")</f>
        <v>4</v>
      </c>
      <c r="R70" s="59">
        <f>_xlfn.IFNA(VLOOKUP(Table2[[#This Row],[tee time3]],'Summer FD - groups'!$A$3:$F$20,6,FALSE),"")</f>
        <v>40</v>
      </c>
      <c r="S70" s="4">
        <f>_xlfn.IFNA(VLOOKUP(Table2[[#This Row],[tee time3]],'Summer FD - groups'!$A$3:$F$20,4,FALSE),"")</f>
        <v>0.18958333333333333</v>
      </c>
      <c r="T70" s="13">
        <f>_xlfn.IFNA(VLOOKUP(Table2[[#This Row],[tee time3]],'Summer FD - groups'!$A$3:$F$20,5,FALSE),"")</f>
        <v>9.0277777777778567E-3</v>
      </c>
      <c r="U70" s="69">
        <f>IF(Table2[[#This Row],[avg gap]]&lt;&gt;"",IFERROR((MAX(starting_interval,IF(Table2[[#This Row],[gap3]]="NA",Table2[[#This Row],[avg gap]],Table2[[#This Row],[gap3]]))-starting_interval)*Table2[[#This Row],[followers3]]/Table2[[#This Row],[group size3]],""),"")</f>
        <v>2.0833333333334127E-2</v>
      </c>
      <c r="V70" s="32" t="str">
        <f>_xlfn.IFNA(VLOOKUP(Table2[[#This Row],[Name]],'6-6-6 - players'!$A$2:$B$69,2,FALSE),"")</f>
        <v/>
      </c>
      <c r="W70" s="59" t="str">
        <f>IF(Table2[[#This Row],[tee time4]]&lt;&gt;"",COUNTIF('6-6-6 - players'!$B$2:$B$69,"="&amp;Table2[[#This Row],[tee time4]]),"")</f>
        <v/>
      </c>
      <c r="X70" s="59" t="str">
        <f>_xlfn.IFNA(VLOOKUP(Table2[[#This Row],[tee time4]],'6-6-6 - groups'!$A$3:$F$20,6,FALSE),"")</f>
        <v/>
      </c>
      <c r="Y70" s="4" t="str">
        <f>_xlfn.IFNA(VLOOKUP(Table2[[#This Row],[tee time4]],'6-6-6 - groups'!$A$3:$F$20,4,FALSE),"")</f>
        <v/>
      </c>
      <c r="Z70" s="13" t="str">
        <f>_xlfn.IFNA(VLOOKUP(Table2[[#This Row],[tee time4]],'6-6-6 - groups'!$A$3:$F$20,5,FALSE),"")</f>
        <v/>
      </c>
      <c r="AA70" s="69" t="str">
        <f>IF(Table2[[#This Row],[avg gap]]&lt;&gt;"",IFERROR((MAX(starting_interval,IF(Table2[[#This Row],[gap4]]="NA",Table2[[#This Row],[avg gap]],Table2[[#This Row],[gap4]]))-starting_interval)*Table2[[#This Row],[followers4]]/Table2[[#This Row],[group size4]],""),"")</f>
        <v/>
      </c>
      <c r="AB70" s="32" t="str">
        <f>_xlfn.IFNA(VLOOKUP(Table2[[#This Row],[Name]],'Fall FD - players'!$A$2:$B$65,2,FALSE),"")</f>
        <v/>
      </c>
      <c r="AC70" s="59" t="str">
        <f>IF(Table2[[#This Row],[tee time5]]&lt;&gt;"",COUNTIF('Fall FD - players'!$B$2:$B$65,"="&amp;Table2[[#This Row],[tee time5]]),"")</f>
        <v/>
      </c>
      <c r="AD70" s="59" t="str">
        <f>_xlfn.IFNA(VLOOKUP(Table2[[#This Row],[tee time5]],'Fall FD - groups'!$A$3:$F$20,6,FALSE),"")</f>
        <v/>
      </c>
      <c r="AE70" s="4" t="str">
        <f>_xlfn.IFNA(VLOOKUP(Table2[[#This Row],[tee time5]],'Fall FD - groups'!$A$3:$F$20,4,FALSE),"")</f>
        <v/>
      </c>
      <c r="AF70" s="13" t="str">
        <f>IFERROR(MIN(_xlfn.IFNA(VLOOKUP(Table2[[#This Row],[tee time5]],'Fall FD - groups'!$A$3:$F$20,5,FALSE),""),starting_interval + Table2[[#This Row],[round5]] - standard_round_time),"")</f>
        <v/>
      </c>
      <c r="AG70" s="69" t="str">
        <f>IF(AND(Table2[[#This Row],[gap5]]="NA",Table2[[#This Row],[round5]]&lt;4/24),0,IFERROR((MAX(starting_interval,IF(Table2[[#This Row],[gap5]]="NA",Table2[[#This Row],[avg gap]],Table2[[#This Row],[gap5]]))-starting_interval)*Table2[[#This Row],[followers5]]/Table2[[#This Row],[group size5]],""))</f>
        <v/>
      </c>
      <c r="AH70" s="32" t="str">
        <f>_xlfn.IFNA(VLOOKUP(Table2[[#This Row],[Name]],'Stableford - players'!$A$2:$B$65,2,FALSE),"")</f>
        <v/>
      </c>
      <c r="AI70" s="59" t="str">
        <f>IF(Table2[[#This Row],[tee time6]]&lt;&gt;"",COUNTIF('Stableford - players'!$B$2:$B$65,"="&amp;Table2[[#This Row],[tee time6]]),"")</f>
        <v/>
      </c>
      <c r="AJ70" s="59" t="str">
        <f>_xlfn.IFNA(VLOOKUP(Table2[[#This Row],[tee time6]],'Stableford - groups'!$A$3:$F$20,6,FALSE),"")</f>
        <v/>
      </c>
      <c r="AK70" s="11" t="str">
        <f>_xlfn.IFNA(VLOOKUP(Table2[[#This Row],[tee time6]],'Stableford - groups'!$A$3:$F$20,4,FALSE),"")</f>
        <v/>
      </c>
      <c r="AL70" s="13" t="str">
        <f>_xlfn.IFNA(VLOOKUP(Table2[[#This Row],[tee time6]],'Stableford - groups'!$A$3:$F$20,5,FALSE),"")</f>
        <v/>
      </c>
      <c r="AM70" s="68" t="str">
        <f>IF(AND(Table2[[#This Row],[gap6]]="NA",Table2[[#This Row],[round6]]&lt;4/24),0,IFERROR((MAX(starting_interval,IF(Table2[[#This Row],[gap6]]="NA",Table2[[#This Row],[avg gap]],Table2[[#This Row],[gap6]]))-starting_interval)*Table2[[#This Row],[followers6]]/Table2[[#This Row],[group size6]],""))</f>
        <v/>
      </c>
      <c r="AN70" s="32" t="str">
        <f>_xlfn.IFNA(VLOOKUP(Table2[[#This Row],[Name]],'Turkey Shoot - players'!$A$2:$B$65,2,FALSE),"")</f>
        <v/>
      </c>
      <c r="AO70" s="59" t="str">
        <f>IF(Table2[[#This Row],[tee time7]]&lt;&gt;"",COUNTIF('Turkey Shoot - players'!$B$2:$B$65,"="&amp;Table2[[#This Row],[tee time7]]),"")</f>
        <v/>
      </c>
      <c r="AP70" s="59" t="str">
        <f>_xlfn.IFNA(VLOOKUP(Table2[[#This Row],[tee time7]],'Stableford - groups'!$A$3:$F$20,6,FALSE),"")</f>
        <v/>
      </c>
      <c r="AQ70" s="11" t="str">
        <f>_xlfn.IFNA(VLOOKUP(Table2[[#This Row],[tee time7]],'Turkey Shoot - groups'!$A$3:$F$20,4,FALSE),"")</f>
        <v/>
      </c>
      <c r="AR70" s="13" t="str">
        <f>_xlfn.IFNA(VLOOKUP(Table2[[#This Row],[tee time7]],'Turkey Shoot - groups'!$A$3:$F$20,5,FALSE),"")</f>
        <v/>
      </c>
      <c r="AS70" s="68" t="str">
        <f>IF(AND(Table2[[#This Row],[gap7]]="NA",Table2[[#This Row],[round7]]&lt;4/24),0,IFERROR((MAX(starting_interval,IF(Table2[[#This Row],[gap7]]="NA",Table2[[#This Row],[avg gap]],Table2[[#This Row],[gap7]]))-starting_interval)*Table2[[#This Row],[followers7]]/Table2[[#This Row],[group size7]],""))</f>
        <v/>
      </c>
      <c r="AT70" s="72">
        <f>COUNT(Table2[[#This Row],[Tee time1]],Table2[[#This Row],[tee time2]],Table2[[#This Row],[tee time3]],Table2[[#This Row],[tee time4]],Table2[[#This Row],[tee time5]],Table2[[#This Row],[tee time6]],Table2[[#This Row],[tee time7]])</f>
        <v>3</v>
      </c>
      <c r="AU70" s="4">
        <f>IFERROR(AVERAGE(Table2[[#This Row],[Tee time1]],Table2[[#This Row],[tee time2]],Table2[[#This Row],[tee time3]],Table2[[#This Row],[tee time4]],Table2[[#This Row],[tee time5]],Table2[[#This Row],[tee time6]],Table2[[#This Row],[tee time7]]),"")</f>
        <v>0.37708333333333338</v>
      </c>
      <c r="AV70" s="11">
        <f>IFERROR(MEDIAN(Table2[[#This Row],[round1]],Table2[[#This Row],[Round2]],Table2[[#This Row],[round3]],Table2[[#This Row],[round4]],Table2[[#This Row],[round5]],Table2[[#This Row],[round6]],Table2[[#This Row],[round7]]),"")</f>
        <v>0.18958333333333333</v>
      </c>
      <c r="AW70" s="11">
        <f>IFERROR(AVERAGE(Table2[[#This Row],[gap1]],Table2[[#This Row],[gap2]],Table2[[#This Row],[gap3]],Table2[[#This Row],[gap4]],Table2[[#This Row],[gap5]],Table2[[#This Row],[gap6]],Table2[[#This Row],[gap7]]),"")</f>
        <v>6.2500000000000333E-3</v>
      </c>
      <c r="AX70" s="9">
        <f>IFERROR((Table2[[#This Row],[avg gap]]-starting_interval)*24*60*Table2[[#This Row],[Count]],"NA")</f>
        <v>-2.9999999999998543</v>
      </c>
      <c r="AY7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2.0833333333334127E-2</v>
      </c>
      <c r="AZ70" s="2"/>
    </row>
    <row r="71" spans="1:52" x14ac:dyDescent="0.3">
      <c r="A71" s="10" t="s">
        <v>478</v>
      </c>
      <c r="B71" s="28"/>
      <c r="C71" s="29">
        <v>9.5</v>
      </c>
      <c r="D71" s="63" t="str">
        <f>_xlfn.IFNA(VLOOKUP(Table2[[#This Row],[Name]],'Classic day 1 - players'!$A$2:$B$64,2,FALSE),"")</f>
        <v/>
      </c>
      <c r="E71" s="34" t="str">
        <f>IF(Table2[[#This Row],[Tee time1]]&lt;&gt;"",COUNTIF('Classic day 1 - players'!$B$2:$B$64,"="&amp;Table2[[#This Row],[Tee time1]]),"")</f>
        <v/>
      </c>
      <c r="F71" s="34" t="str">
        <f>_xlfn.IFNA(VLOOKUP(Table2[[#This Row],[Tee time1]],'Classic day 1 - groups'!$A$3:$F$20,6,FALSE),"")</f>
        <v/>
      </c>
      <c r="G71" s="30" t="str">
        <f>_xlfn.IFNA(VLOOKUP(Table2[[#This Row],[Tee time1]],'Classic day 1 - groups'!$A$3:$F$20,4,FALSE),"")</f>
        <v/>
      </c>
      <c r="H71" s="64" t="str">
        <f>_xlfn.IFNA(VLOOKUP(Table2[[#This Row],[Tee time1]],'Classic day 1 - groups'!$A$3:$F$20,5,FALSE),"")</f>
        <v/>
      </c>
      <c r="I71" s="69" t="str">
        <f>IFERROR((MAX(starting_interval,IF(Table2[[#This Row],[gap1]]="NA",Table2[[#This Row],[avg gap]],Table2[[#This Row],[gap1]]))-starting_interval)*Table2[[#This Row],[followers1]]/Table2[[#This Row],[group size]],"")</f>
        <v/>
      </c>
      <c r="J71" s="32" t="str">
        <f>_xlfn.IFNA(VLOOKUP(Table2[[#This Row],[Name]],'Classic day 2 - players'!$A$2:$B$64,2,FALSE),"")</f>
        <v/>
      </c>
      <c r="K71" s="33" t="str">
        <f>IF(Table2[[#This Row],[tee time2]]&lt;&gt;"",COUNTIF('Classic day 2 - players'!$B$2:$B$64,"="&amp;Table2[[#This Row],[tee time2]]),"")</f>
        <v/>
      </c>
      <c r="L71" s="33" t="str">
        <f>_xlfn.IFNA(VLOOKUP(Table2[[#This Row],[tee time2]],'Classic day 2 - groups'!$A$3:$F$20,6,FALSE),"")</f>
        <v/>
      </c>
      <c r="M71" s="4" t="str">
        <f>_xlfn.IFNA(VLOOKUP(Table2[[#This Row],[tee time2]],'Classic day 2 - groups'!$A$3:$F$20,4,FALSE),"")</f>
        <v/>
      </c>
      <c r="N71" s="65" t="str">
        <f>_xlfn.IFNA(VLOOKUP(Table2[[#This Row],[tee time2]],'Classic day 2 - groups'!$A$3:$F$20,5,FALSE),"")</f>
        <v/>
      </c>
      <c r="O71" s="69" t="str">
        <f>IFERROR((MAX(starting_interval,IF(Table2[[#This Row],[gap2]]="NA",Table2[[#This Row],[avg gap]],Table2[[#This Row],[gap2]]))-starting_interval)*Table2[[#This Row],[followers2]]/Table2[[#This Row],[group size2]],"")</f>
        <v/>
      </c>
      <c r="P71" s="66" t="str">
        <f>_xlfn.IFNA(VLOOKUP(Table2[[#This Row],[Name]],'Summer FD - players'!$A$2:$B$65,2,FALSE),"")</f>
        <v/>
      </c>
      <c r="Q71" s="60" t="str">
        <f>IF(Table2[[#This Row],[tee time3]]&lt;&gt;"",COUNTIF('Summer FD - players'!$B$2:$B$65,"="&amp;Table2[[#This Row],[tee time3]]),"")</f>
        <v/>
      </c>
      <c r="R71" s="60" t="str">
        <f>_xlfn.IFNA(VLOOKUP(Table2[[#This Row],[tee time3]],'Summer FD - groups'!$A$3:$F$20,6,FALSE),"")</f>
        <v/>
      </c>
      <c r="S71" s="3" t="str">
        <f>_xlfn.IFNA(VLOOKUP(Table2[[#This Row],[tee time3]],'Summer FD - groups'!$A$3:$F$20,4,FALSE),"")</f>
        <v/>
      </c>
      <c r="T71" s="65" t="str">
        <f>_xlfn.IFNA(VLOOKUP(Table2[[#This Row],[tee time3]],'Summer FD - groups'!$A$3:$F$20,5,FALSE),"")</f>
        <v/>
      </c>
      <c r="U71" s="69" t="str">
        <f>IF(Table2[[#This Row],[avg gap]]&lt;&gt;"",IFERROR((MAX(starting_interval,IF(Table2[[#This Row],[gap3]]="NA",Table2[[#This Row],[avg gap]],Table2[[#This Row],[gap3]]))-starting_interval)*Table2[[#This Row],[followers3]]/Table2[[#This Row],[group size3]],""),"")</f>
        <v/>
      </c>
      <c r="V71" s="32">
        <f>_xlfn.IFNA(VLOOKUP(Table2[[#This Row],[Name]],'6-6-6 - players'!$A$2:$B$69,2,FALSE),"")</f>
        <v>0.4513888888888889</v>
      </c>
      <c r="W71" s="60">
        <f>IF(Table2[[#This Row],[tee time4]]&lt;&gt;"",COUNTIF('6-6-6 - players'!$B$2:$B$69,"="&amp;Table2[[#This Row],[tee time4]]),"")</f>
        <v>2</v>
      </c>
      <c r="X71" s="60">
        <f>_xlfn.IFNA(VLOOKUP(Table2[[#This Row],[tee time4]],'6-6-6 - groups'!$A$3:$F$20,6,FALSE),"")</f>
        <v>0</v>
      </c>
      <c r="Y71" s="4">
        <f>_xlfn.IFNA(VLOOKUP(Table2[[#This Row],[tee time4]],'6-6-6 - groups'!$A$3:$F$20,4,FALSE),"")</f>
        <v>0.18819444444444439</v>
      </c>
      <c r="Z71" s="13">
        <f>_xlfn.IFNA(VLOOKUP(Table2[[#This Row],[tee time4]],'6-6-6 - groups'!$A$3:$F$20,5,FALSE),"")</f>
        <v>3.4722222222220989E-3</v>
      </c>
      <c r="AA71" s="69">
        <f>IF(Table2[[#This Row],[avg gap]]&lt;&gt;"",IFERROR((MAX(starting_interval,IF(Table2[[#This Row],[gap4]]="NA",Table2[[#This Row],[avg gap]],Table2[[#This Row],[gap4]]))-starting_interval)*Table2[[#This Row],[followers4]]/Table2[[#This Row],[group size4]],""),"")</f>
        <v>0</v>
      </c>
      <c r="AB71" s="32">
        <f>_xlfn.IFNA(VLOOKUP(Table2[[#This Row],[Name]],'Fall FD - players'!$A$2:$B$65,2,FALSE),"")</f>
        <v>0.35138888888888892</v>
      </c>
      <c r="AC71" s="60">
        <f>IF(Table2[[#This Row],[tee time5]]&lt;&gt;"",COUNTIF('Fall FD - players'!$B$2:$B$65,"="&amp;Table2[[#This Row],[tee time5]]),"")</f>
        <v>4</v>
      </c>
      <c r="AD71" s="60">
        <f>_xlfn.IFNA(VLOOKUP(Table2[[#This Row],[tee time5]],'Fall FD - groups'!$A$3:$F$20,6,FALSE),"")</f>
        <v>60</v>
      </c>
      <c r="AE71" s="4">
        <f>_xlfn.IFNA(VLOOKUP(Table2[[#This Row],[tee time5]],'Fall FD - groups'!$A$3:$F$20,4,FALSE),"")</f>
        <v>0.17152777777777767</v>
      </c>
      <c r="AF71" s="13">
        <f>IFERROR(MIN(_xlfn.IFNA(VLOOKUP(Table2[[#This Row],[tee time5]],'Fall FD - groups'!$A$3:$F$20,5,FALSE),""),starting_interval + Table2[[#This Row],[round5]] - standard_round_time),"")</f>
        <v>8.3333333333333037E-3</v>
      </c>
      <c r="AG71" s="69">
        <f>IF(AND(Table2[[#This Row],[gap5]]="NA",Table2[[#This Row],[round5]]&lt;4/24),0,IFERROR((MAX(starting_interval,IF(Table2[[#This Row],[gap5]]="NA",Table2[[#This Row],[avg gap]],Table2[[#This Row],[gap5]]))-starting_interval)*Table2[[#This Row],[followers5]]/Table2[[#This Row],[group size5]],""))</f>
        <v>2.0833333333332895E-2</v>
      </c>
      <c r="AH71" s="32" t="str">
        <f>_xlfn.IFNA(VLOOKUP(Table2[[#This Row],[Name]],'Stableford - players'!$A$2:$B$65,2,FALSE),"")</f>
        <v/>
      </c>
      <c r="AI71" s="60" t="str">
        <f>IF(Table2[[#This Row],[tee time6]]&lt;&gt;"",COUNTIF('Stableford - players'!$B$2:$B$65,"="&amp;Table2[[#This Row],[tee time6]]),"")</f>
        <v/>
      </c>
      <c r="AJ71" s="59" t="str">
        <f>_xlfn.IFNA(VLOOKUP(Table2[[#This Row],[tee time6]],'Stableford - groups'!$A$3:$F$20,6,FALSE),"")</f>
        <v/>
      </c>
      <c r="AK71" s="11" t="str">
        <f>_xlfn.IFNA(VLOOKUP(Table2[[#This Row],[tee time6]],'Stableford - groups'!$A$3:$F$20,4,FALSE),"")</f>
        <v/>
      </c>
      <c r="AL71" s="13" t="str">
        <f>_xlfn.IFNA(VLOOKUP(Table2[[#This Row],[tee time6]],'Stableford - groups'!$A$3:$F$20,5,FALSE),"")</f>
        <v/>
      </c>
      <c r="AM71" s="68" t="str">
        <f>IF(AND(Table2[[#This Row],[gap6]]="NA",Table2[[#This Row],[round6]]&lt;4/24),0,IFERROR((MAX(starting_interval,IF(Table2[[#This Row],[gap6]]="NA",Table2[[#This Row],[avg gap]],Table2[[#This Row],[gap6]]))-starting_interval)*Table2[[#This Row],[followers6]]/Table2[[#This Row],[group size6]],""))</f>
        <v/>
      </c>
      <c r="AN71" s="32" t="str">
        <f>_xlfn.IFNA(VLOOKUP(Table2[[#This Row],[Name]],'Turkey Shoot - players'!$A$2:$B$65,2,FALSE),"")</f>
        <v/>
      </c>
      <c r="AO71" s="59" t="str">
        <f>IF(Table2[[#This Row],[tee time7]]&lt;&gt;"",COUNTIF('Turkey Shoot - players'!$B$2:$B$65,"="&amp;Table2[[#This Row],[tee time7]]),"")</f>
        <v/>
      </c>
      <c r="AP71" s="59" t="str">
        <f>_xlfn.IFNA(VLOOKUP(Table2[[#This Row],[tee time7]],'Stableford - groups'!$A$3:$F$20,6,FALSE),"")</f>
        <v/>
      </c>
      <c r="AQ71" s="11" t="str">
        <f>_xlfn.IFNA(VLOOKUP(Table2[[#This Row],[tee time7]],'Turkey Shoot - groups'!$A$3:$F$20,4,FALSE),"")</f>
        <v/>
      </c>
      <c r="AR71" s="13" t="str">
        <f>_xlfn.IFNA(VLOOKUP(Table2[[#This Row],[tee time7]],'Turkey Shoot - groups'!$A$3:$F$20,5,FALSE),"")</f>
        <v/>
      </c>
      <c r="AS71" s="68" t="str">
        <f>IF(AND(Table2[[#This Row],[gap7]]="NA",Table2[[#This Row],[round7]]&lt;4/24),0,IFERROR((MAX(starting_interval,IF(Table2[[#This Row],[gap7]]="NA",Table2[[#This Row],[avg gap]],Table2[[#This Row],[gap7]]))-starting_interval)*Table2[[#This Row],[followers7]]/Table2[[#This Row],[group size7]],""))</f>
        <v/>
      </c>
      <c r="AT71" s="72">
        <f>COUNT(Table2[[#This Row],[Tee time1]],Table2[[#This Row],[tee time2]],Table2[[#This Row],[tee time3]],Table2[[#This Row],[tee time4]],Table2[[#This Row],[tee time5]],Table2[[#This Row],[tee time6]],Table2[[#This Row],[tee time7]])</f>
        <v>2</v>
      </c>
      <c r="AU71" s="4">
        <f>IFERROR(AVERAGE(Table2[[#This Row],[Tee time1]],Table2[[#This Row],[tee time2]],Table2[[#This Row],[tee time3]],Table2[[#This Row],[tee time4]],Table2[[#This Row],[tee time5]],Table2[[#This Row],[tee time6]],Table2[[#This Row],[tee time7]]),"")</f>
        <v>0.40138888888888891</v>
      </c>
      <c r="AV71" s="30">
        <f>IFERROR(MEDIAN(Table2[[#This Row],[round1]],Table2[[#This Row],[Round2]],Table2[[#This Row],[round3]],Table2[[#This Row],[round4]],Table2[[#This Row],[round5]],Table2[[#This Row],[round6]],Table2[[#This Row],[round7]]),"")</f>
        <v>0.17986111111111103</v>
      </c>
      <c r="AW71" s="30">
        <f>IFERROR(AVERAGE(Table2[[#This Row],[gap1]],Table2[[#This Row],[gap2]],Table2[[#This Row],[gap3]],Table2[[#This Row],[gap4]],Table2[[#This Row],[gap5]],Table2[[#This Row],[gap6]],Table2[[#This Row],[gap7]]),"")</f>
        <v>5.9027777777777013E-3</v>
      </c>
      <c r="AX71" s="9">
        <f>IFERROR((Table2[[#This Row],[avg gap]]-starting_interval)*24*60*Table2[[#This Row],[Count]],"NA")</f>
        <v>-3.0000000000002194</v>
      </c>
      <c r="AY7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2.0833333333332895E-2</v>
      </c>
      <c r="AZ71" s="2"/>
    </row>
    <row r="72" spans="1:52" x14ac:dyDescent="0.3">
      <c r="A72" s="10" t="s">
        <v>134</v>
      </c>
      <c r="B72" s="1" t="s">
        <v>375</v>
      </c>
      <c r="C72" s="19">
        <v>16.3</v>
      </c>
      <c r="D72" s="32">
        <f>_xlfn.IFNA(VLOOKUP(Table2[[#This Row],[Name]],'Classic day 1 - players'!$A$2:$B$64,2,FALSE),"")</f>
        <v>0.35833333333333334</v>
      </c>
      <c r="E72" s="33">
        <f>IF(Table2[[#This Row],[Tee time1]]&lt;&gt;"",COUNTIF('Classic day 1 - players'!$B$2:$B$64,"="&amp;Table2[[#This Row],[Tee time1]]),"")</f>
        <v>4</v>
      </c>
      <c r="F72" s="33">
        <f>_xlfn.IFNA(VLOOKUP(Table2[[#This Row],[Tee time1]],'Classic day 1 - groups'!$A$3:$F$20,6,FALSE),"")</f>
        <v>52</v>
      </c>
      <c r="G72" s="11">
        <f>_xlfn.IFNA(VLOOKUP(Table2[[#This Row],[Tee time1]],'Classic day 1 - groups'!$A$3:$F$20,4,FALSE),"")</f>
        <v>0.19930555555555557</v>
      </c>
      <c r="H72" s="12">
        <f>_xlfn.IFNA(VLOOKUP(Table2[[#This Row],[Tee time1]],'Classic day 1 - groups'!$A$3:$F$20,5,FALSE),"")</f>
        <v>3.4722222222222099E-3</v>
      </c>
      <c r="I72" s="69">
        <f>IFERROR((MAX(starting_interval,IF(Table2[[#This Row],[gap1]]="NA",Table2[[#This Row],[avg gap]],Table2[[#This Row],[gap1]]))-starting_interval)*Table2[[#This Row],[followers1]]/Table2[[#This Row],[group size]],"")</f>
        <v>0</v>
      </c>
      <c r="J72" s="32">
        <f>_xlfn.IFNA(VLOOKUP(Table2[[#This Row],[Name]],'Classic day 2 - players'!$A$2:$B$64,2,FALSE),"")</f>
        <v>0.33958333333333335</v>
      </c>
      <c r="K72" s="33">
        <f>IF(Table2[[#This Row],[tee time2]]&lt;&gt;"",COUNTIF('Classic day 2 - players'!$B$2:$B$64,"="&amp;Table2[[#This Row],[tee time2]]),"")</f>
        <v>4</v>
      </c>
      <c r="L72" s="33">
        <f>_xlfn.IFNA(VLOOKUP(Table2[[#This Row],[tee time2]],'Classic day 2 - groups'!$A$3:$F$20,6,FALSE),"")</f>
        <v>48</v>
      </c>
      <c r="M72" s="4">
        <f>_xlfn.IFNA(VLOOKUP(Table2[[#This Row],[tee time2]],'Classic day 2 - groups'!$A$3:$F$20,4,FALSE),"")</f>
        <v>0.16874999999999998</v>
      </c>
      <c r="N72" s="65">
        <f>_xlfn.IFNA(VLOOKUP(Table2[[#This Row],[tee time2]],'Classic day 2 - groups'!$A$3:$F$20,5,FALSE),"")</f>
        <v>6.9444444444444441E-3</v>
      </c>
      <c r="O72" s="69">
        <f>IFERROR((MAX(starting_interval,IF(Table2[[#This Row],[gap2]]="NA",Table2[[#This Row],[avg gap]],Table2[[#This Row],[gap2]]))-starting_interval)*Table2[[#This Row],[followers2]]/Table2[[#This Row],[group size2]],"")</f>
        <v>0</v>
      </c>
      <c r="P72" s="32" t="str">
        <f>_xlfn.IFNA(VLOOKUP(Table2[[#This Row],[Name]],'Summer FD - players'!$A$2:$B$65,2,FALSE),"")</f>
        <v/>
      </c>
      <c r="Q72" s="59" t="str">
        <f>IF(Table2[[#This Row],[tee time3]]&lt;&gt;"",COUNTIF('Summer FD - players'!$B$2:$B$65,"="&amp;Table2[[#This Row],[tee time3]]),"")</f>
        <v/>
      </c>
      <c r="R72" s="59" t="str">
        <f>_xlfn.IFNA(VLOOKUP(Table2[[#This Row],[tee time3]],'Summer FD - groups'!$A$3:$F$20,6,FALSE),"")</f>
        <v/>
      </c>
      <c r="S72" s="4" t="str">
        <f>_xlfn.IFNA(VLOOKUP(Table2[[#This Row],[tee time3]],'Summer FD - groups'!$A$3:$F$20,4,FALSE),"")</f>
        <v/>
      </c>
      <c r="T72" s="13" t="str">
        <f>_xlfn.IFNA(VLOOKUP(Table2[[#This Row],[tee time3]],'Summer FD - groups'!$A$3:$F$20,5,FALSE),"")</f>
        <v/>
      </c>
      <c r="U72" s="69" t="str">
        <f>IF(Table2[[#This Row],[avg gap]]&lt;&gt;"",IFERROR((MAX(starting_interval,IF(Table2[[#This Row],[gap3]]="NA",Table2[[#This Row],[avg gap]],Table2[[#This Row],[gap3]]))-starting_interval)*Table2[[#This Row],[followers3]]/Table2[[#This Row],[group size3]],""),"")</f>
        <v/>
      </c>
      <c r="V72" s="32">
        <f>_xlfn.IFNA(VLOOKUP(Table2[[#This Row],[Name]],'6-6-6 - players'!$A$2:$B$69,2,FALSE),"")</f>
        <v>0.35416666666666669</v>
      </c>
      <c r="W72" s="59">
        <f>IF(Table2[[#This Row],[tee time4]]&lt;&gt;"",COUNTIF('6-6-6 - players'!$B$2:$B$69,"="&amp;Table2[[#This Row],[tee time4]]),"")</f>
        <v>2</v>
      </c>
      <c r="X72" s="59">
        <f>_xlfn.IFNA(VLOOKUP(Table2[[#This Row],[tee time4]],'6-6-6 - groups'!$A$3:$F$20,6,FALSE),"")</f>
        <v>56</v>
      </c>
      <c r="Y72" s="4">
        <f>_xlfn.IFNA(VLOOKUP(Table2[[#This Row],[tee time4]],'6-6-6 - groups'!$A$3:$F$20,4,FALSE),"")</f>
        <v>0.17291666666666666</v>
      </c>
      <c r="Z72" s="13">
        <f>_xlfn.IFNA(VLOOKUP(Table2[[#This Row],[tee time4]],'6-6-6 - groups'!$A$3:$F$20,5,FALSE),"")</f>
        <v>6.2499999999999778E-3</v>
      </c>
      <c r="AA72" s="69">
        <f>IF(Table2[[#This Row],[avg gap]]&lt;&gt;"",IFERROR((MAX(starting_interval,IF(Table2[[#This Row],[gap4]]="NA",Table2[[#This Row],[avg gap]],Table2[[#This Row],[gap4]]))-starting_interval)*Table2[[#This Row],[followers4]]/Table2[[#This Row],[group size4]],""),"")</f>
        <v>0</v>
      </c>
      <c r="AB72" s="32">
        <f>_xlfn.IFNA(VLOOKUP(Table2[[#This Row],[Name]],'Fall FD - players'!$A$2:$B$65,2,FALSE),"")</f>
        <v>0.35138888888888892</v>
      </c>
      <c r="AC72" s="59">
        <f>IF(Table2[[#This Row],[tee time5]]&lt;&gt;"",COUNTIF('Fall FD - players'!$B$2:$B$65,"="&amp;Table2[[#This Row],[tee time5]]),"")</f>
        <v>4</v>
      </c>
      <c r="AD72" s="59">
        <f>_xlfn.IFNA(VLOOKUP(Table2[[#This Row],[tee time5]],'Fall FD - groups'!$A$3:$F$20,6,FALSE),"")</f>
        <v>60</v>
      </c>
      <c r="AE72" s="4">
        <f>_xlfn.IFNA(VLOOKUP(Table2[[#This Row],[tee time5]],'Fall FD - groups'!$A$3:$F$20,4,FALSE),"")</f>
        <v>0.17152777777777767</v>
      </c>
      <c r="AF72" s="13">
        <f>IFERROR(MIN(_xlfn.IFNA(VLOOKUP(Table2[[#This Row],[tee time5]],'Fall FD - groups'!$A$3:$F$20,5,FALSE),""),starting_interval + Table2[[#This Row],[round5]] - standard_round_time),"")</f>
        <v>8.3333333333333037E-3</v>
      </c>
      <c r="AG72" s="69">
        <f>IF(AND(Table2[[#This Row],[gap5]]="NA",Table2[[#This Row],[round5]]&lt;4/24),0,IFERROR((MAX(starting_interval,IF(Table2[[#This Row],[gap5]]="NA",Table2[[#This Row],[avg gap]],Table2[[#This Row],[gap5]]))-starting_interval)*Table2[[#This Row],[followers5]]/Table2[[#This Row],[group size5]],""))</f>
        <v>2.0833333333332895E-2</v>
      </c>
      <c r="AH72" s="32">
        <f>_xlfn.IFNA(VLOOKUP(Table2[[#This Row],[Name]],'Stableford - players'!$A$2:$B$65,2,FALSE),"")</f>
        <v>0.35416666666666669</v>
      </c>
      <c r="AI72" s="59">
        <f>IF(Table2[[#This Row],[tee time6]]&lt;&gt;"",COUNTIF('Stableford - players'!$B$2:$B$65,"="&amp;Table2[[#This Row],[tee time6]]),"")</f>
        <v>4</v>
      </c>
      <c r="AJ72" s="59">
        <f>_xlfn.IFNA(VLOOKUP(Table2[[#This Row],[tee time6]],'Stableford - groups'!$A$3:$F$20,6,FALSE),"")</f>
        <v>48</v>
      </c>
      <c r="AK72" s="11">
        <f>_xlfn.IFNA(VLOOKUP(Table2[[#This Row],[tee time6]],'Stableford - groups'!$A$3:$F$20,4,FALSE),"")</f>
        <v>0.16666666666666669</v>
      </c>
      <c r="AL72" s="13">
        <f>_xlfn.IFNA(VLOOKUP(Table2[[#This Row],[tee time6]],'Stableford - groups'!$A$3:$F$20,5,FALSE),"")</f>
        <v>3.4722222222223209E-3</v>
      </c>
      <c r="AM72" s="68">
        <f>IF(AND(Table2[[#This Row],[gap6]]="NA",Table2[[#This Row],[round6]]&lt;4/24),0,IFERROR((MAX(starting_interval,IF(Table2[[#This Row],[gap6]]="NA",Table2[[#This Row],[avg gap]],Table2[[#This Row],[gap6]]))-starting_interval)*Table2[[#This Row],[followers6]]/Table2[[#This Row],[group size6]],""))</f>
        <v>0</v>
      </c>
      <c r="AN72" s="32">
        <f>_xlfn.IFNA(VLOOKUP(Table2[[#This Row],[Name]],'Turkey Shoot - players'!$A$2:$B$65,2,FALSE),"")</f>
        <v>0.3888888888888889</v>
      </c>
      <c r="AO72" s="59">
        <f>IF(Table2[[#This Row],[tee time7]]&lt;&gt;"",COUNTIF('Turkey Shoot - players'!$B$2:$B$65,"="&amp;Table2[[#This Row],[tee time7]]),"")</f>
        <v>4</v>
      </c>
      <c r="AP72" s="59">
        <f>_xlfn.IFNA(VLOOKUP(Table2[[#This Row],[tee time7]],'Stableford - groups'!$A$3:$F$20,6,FALSE),"")</f>
        <v>28</v>
      </c>
      <c r="AQ72" s="11">
        <f>_xlfn.IFNA(VLOOKUP(Table2[[#This Row],[tee time7]],'Turkey Shoot - groups'!$A$3:$F$20,4,FALSE),"")</f>
        <v>0.1701388888888889</v>
      </c>
      <c r="AR72" s="13">
        <f>_xlfn.IFNA(VLOOKUP(Table2[[#This Row],[tee time7]],'Turkey Shoot - groups'!$A$3:$F$20,5,FALSE),"")</f>
        <v>4.1666666666666666E-3</v>
      </c>
      <c r="AS72" s="68">
        <f>IF(AND(Table2[[#This Row],[gap7]]="NA",Table2[[#This Row],[round7]]&lt;4/24),0,IFERROR((MAX(starting_interval,IF(Table2[[#This Row],[gap7]]="NA",Table2[[#This Row],[avg gap]],Table2[[#This Row],[gap7]]))-starting_interval)*Table2[[#This Row],[followers7]]/Table2[[#This Row],[group size7]],""))</f>
        <v>0</v>
      </c>
      <c r="AT72" s="72">
        <f>COUNT(Table2[[#This Row],[Tee time1]],Table2[[#This Row],[tee time2]],Table2[[#This Row],[tee time3]],Table2[[#This Row],[tee time4]],Table2[[#This Row],[tee time5]],Table2[[#This Row],[tee time6]],Table2[[#This Row],[tee time7]])</f>
        <v>6</v>
      </c>
      <c r="AU72" s="4">
        <f>IFERROR(AVERAGE(Table2[[#This Row],[Tee time1]],Table2[[#This Row],[tee time2]],Table2[[#This Row],[tee time3]],Table2[[#This Row],[tee time4]],Table2[[#This Row],[tee time5]],Table2[[#This Row],[tee time6]],Table2[[#This Row],[tee time7]]),"")</f>
        <v>0.35775462962962967</v>
      </c>
      <c r="AV72" s="11">
        <f>IFERROR(MEDIAN(Table2[[#This Row],[round1]],Table2[[#This Row],[Round2]],Table2[[#This Row],[round3]],Table2[[#This Row],[round4]],Table2[[#This Row],[round5]],Table2[[#This Row],[round6]],Table2[[#This Row],[round7]]),"")</f>
        <v>0.17083333333333328</v>
      </c>
      <c r="AW72" s="11">
        <f>IFERROR(AVERAGE(Table2[[#This Row],[gap1]],Table2[[#This Row],[gap2]],Table2[[#This Row],[gap3]],Table2[[#This Row],[gap4]],Table2[[#This Row],[gap5]],Table2[[#This Row],[gap6]],Table2[[#This Row],[gap7]]),"")</f>
        <v>5.4398148148148209E-3</v>
      </c>
      <c r="AX72" s="9">
        <f>IFERROR((Table2[[#This Row],[avg gap]]-starting_interval)*24*60*Table2[[#This Row],[Count]],"NA")</f>
        <v>-12.999999999999943</v>
      </c>
      <c r="AY7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2.0833333333332895E-2</v>
      </c>
      <c r="AZ72" s="2"/>
    </row>
    <row r="73" spans="1:52" x14ac:dyDescent="0.3">
      <c r="A73" s="10" t="s">
        <v>46</v>
      </c>
      <c r="B73" s="1" t="s">
        <v>284</v>
      </c>
      <c r="C73" s="19">
        <v>13.4</v>
      </c>
      <c r="D73" s="32" t="str">
        <f>_xlfn.IFNA(VLOOKUP(Table2[[#This Row],[Name]],'Classic day 1 - players'!$A$2:$B$64,2,FALSE),"")</f>
        <v/>
      </c>
      <c r="E73" s="33" t="str">
        <f>IF(Table2[[#This Row],[Tee time1]]&lt;&gt;"",COUNTIF('Classic day 1 - players'!$B$2:$B$64,"="&amp;Table2[[#This Row],[Tee time1]]),"")</f>
        <v/>
      </c>
      <c r="F73" s="33" t="str">
        <f>_xlfn.IFNA(VLOOKUP(Table2[[#This Row],[Tee time1]],'Classic day 1 - groups'!$A$3:$F$20,6,FALSE),"")</f>
        <v/>
      </c>
      <c r="G73" s="11" t="str">
        <f>_xlfn.IFNA(VLOOKUP(Table2[[#This Row],[Tee time1]],'Classic day 1 - groups'!$A$3:$F$20,4,FALSE),"")</f>
        <v/>
      </c>
      <c r="H73" s="12" t="str">
        <f>_xlfn.IFNA(VLOOKUP(Table2[[#This Row],[Tee time1]],'Classic day 1 - groups'!$A$3:$F$20,5,FALSE),"")</f>
        <v/>
      </c>
      <c r="I73" s="69" t="str">
        <f>IFERROR((MAX(starting_interval,IF(Table2[[#This Row],[gap1]]="NA",Table2[[#This Row],[avg gap]],Table2[[#This Row],[gap1]]))-starting_interval)*Table2[[#This Row],[followers1]]/Table2[[#This Row],[group size]],"")</f>
        <v/>
      </c>
      <c r="J73" s="32" t="str">
        <f>_xlfn.IFNA(VLOOKUP(Table2[[#This Row],[Name]],'Classic day 2 - players'!$A$2:$B$64,2,FALSE),"")</f>
        <v/>
      </c>
      <c r="K73" s="34" t="str">
        <f>IF(Table2[[#This Row],[tee time2]]&lt;&gt;"",COUNTIF('Classic day 2 - players'!$B$2:$B$64,"="&amp;Table2[[#This Row],[tee time2]]),"")</f>
        <v/>
      </c>
      <c r="L73" s="34" t="str">
        <f>_xlfn.IFNA(VLOOKUP(Table2[[#This Row],[tee time2]],'Classic day 2 - groups'!$A$3:$F$20,6,FALSE),"")</f>
        <v/>
      </c>
      <c r="M73" s="4" t="str">
        <f>_xlfn.IFNA(VLOOKUP(Table2[[#This Row],[tee time2]],'Classic day 2 - groups'!$A$3:$F$20,4,FALSE),"")</f>
        <v/>
      </c>
      <c r="N73" s="65" t="str">
        <f>_xlfn.IFNA(VLOOKUP(Table2[[#This Row],[tee time2]],'Classic day 2 - groups'!$A$3:$F$20,5,FALSE),"")</f>
        <v/>
      </c>
      <c r="O73" s="69" t="str">
        <f>IFERROR((MAX(starting_interval,IF(Table2[[#This Row],[gap2]]="NA",Table2[[#This Row],[avg gap]],Table2[[#This Row],[gap2]]))-starting_interval)*Table2[[#This Row],[followers2]]/Table2[[#This Row],[group size2]],"")</f>
        <v/>
      </c>
      <c r="P73" s="32">
        <f>_xlfn.IFNA(VLOOKUP(Table2[[#This Row],[Name]],'Summer FD - players'!$A$2:$B$65,2,FALSE),"")</f>
        <v>0.42638888888888887</v>
      </c>
      <c r="Q73" s="59">
        <f>IF(Table2[[#This Row],[tee time3]]&lt;&gt;"",COUNTIF('Summer FD - players'!$B$2:$B$65,"="&amp;Table2[[#This Row],[tee time3]]),"")</f>
        <v>4</v>
      </c>
      <c r="R73" s="59">
        <f>_xlfn.IFNA(VLOOKUP(Table2[[#This Row],[tee time3]],'Summer FD - groups'!$A$3:$F$20,6,FALSE),"")</f>
        <v>8</v>
      </c>
      <c r="S73" s="4">
        <f>_xlfn.IFNA(VLOOKUP(Table2[[#This Row],[tee time3]],'Summer FD - groups'!$A$3:$F$20,4,FALSE),"")</f>
        <v>0.19583333333333336</v>
      </c>
      <c r="T73" s="13">
        <f>_xlfn.IFNA(VLOOKUP(Table2[[#This Row],[tee time3]],'Summer FD - groups'!$A$3:$F$20,5,FALSE),"")</f>
        <v>5.5555555555555358E-3</v>
      </c>
      <c r="U73" s="69">
        <f>IF(Table2[[#This Row],[avg gap]]&lt;&gt;"",IFERROR((MAX(starting_interval,IF(Table2[[#This Row],[gap3]]="NA",Table2[[#This Row],[avg gap]],Table2[[#This Row],[gap3]]))-starting_interval)*Table2[[#This Row],[followers3]]/Table2[[#This Row],[group size3]],""),"")</f>
        <v>0</v>
      </c>
      <c r="V73" s="32">
        <f>_xlfn.IFNA(VLOOKUP(Table2[[#This Row],[Name]],'6-6-6 - players'!$A$2:$B$69,2,FALSE),"")</f>
        <v>0.43055555555555558</v>
      </c>
      <c r="W73" s="59">
        <f>IF(Table2[[#This Row],[tee time4]]&lt;&gt;"",COUNTIF('6-6-6 - players'!$B$2:$B$69,"="&amp;Table2[[#This Row],[tee time4]]),"")</f>
        <v>4</v>
      </c>
      <c r="X73" s="59">
        <f>_xlfn.IFNA(VLOOKUP(Table2[[#This Row],[tee time4]],'6-6-6 - groups'!$A$3:$F$20,6,FALSE),"")</f>
        <v>12</v>
      </c>
      <c r="Y73" s="4">
        <f>_xlfn.IFNA(VLOOKUP(Table2[[#This Row],[tee time4]],'6-6-6 - groups'!$A$3:$F$20,4,FALSE),"")</f>
        <v>0.1777777777777777</v>
      </c>
      <c r="Z73" s="13">
        <f>_xlfn.IFNA(VLOOKUP(Table2[[#This Row],[tee time4]],'6-6-6 - groups'!$A$3:$F$20,5,FALSE),"")</f>
        <v>1.041666666666663E-2</v>
      </c>
      <c r="AA73" s="69">
        <f>IF(Table2[[#This Row],[avg gap]]&lt;&gt;"",IFERROR((MAX(starting_interval,IF(Table2[[#This Row],[gap4]]="NA",Table2[[#This Row],[avg gap]],Table2[[#This Row],[gap4]]))-starting_interval)*Table2[[#This Row],[followers4]]/Table2[[#This Row],[group size4]],""),"")</f>
        <v>1.0416666666666557E-2</v>
      </c>
      <c r="AB73" s="32">
        <f>_xlfn.IFNA(VLOOKUP(Table2[[#This Row],[Name]],'Fall FD - players'!$A$2:$B$65,2,FALSE),"")</f>
        <v>0.4069444444444445</v>
      </c>
      <c r="AC73" s="59">
        <f>IF(Table2[[#This Row],[tee time5]]&lt;&gt;"",COUNTIF('Fall FD - players'!$B$2:$B$65,"="&amp;Table2[[#This Row],[tee time5]]),"")</f>
        <v>4</v>
      </c>
      <c r="AD73" s="59">
        <f>_xlfn.IFNA(VLOOKUP(Table2[[#This Row],[tee time5]],'Fall FD - groups'!$A$3:$F$20,6,FALSE),"")</f>
        <v>28</v>
      </c>
      <c r="AE73" s="4">
        <f>_xlfn.IFNA(VLOOKUP(Table2[[#This Row],[tee time5]],'Fall FD - groups'!$A$3:$F$20,4,FALSE),"")</f>
        <v>0.18194444444444452</v>
      </c>
      <c r="AF73" s="13">
        <f>IFERROR(MIN(_xlfn.IFNA(VLOOKUP(Table2[[#This Row],[tee time5]],'Fall FD - groups'!$A$3:$F$20,5,FALSE),""),starting_interval + Table2[[#This Row],[round5]] - standard_round_time),"")</f>
        <v>5.5555555555555358E-3</v>
      </c>
      <c r="AG73" s="69">
        <f>IF(AND(Table2[[#This Row],[gap5]]="NA",Table2[[#This Row],[round5]]&lt;4/24),0,IFERROR((MAX(starting_interval,IF(Table2[[#This Row],[gap5]]="NA",Table2[[#This Row],[avg gap]],Table2[[#This Row],[gap5]]))-starting_interval)*Table2[[#This Row],[followers5]]/Table2[[#This Row],[group size5]],""))</f>
        <v>0</v>
      </c>
      <c r="AH73" s="32">
        <f>_xlfn.IFNA(VLOOKUP(Table2[[#This Row],[Name]],'Stableford - players'!$A$2:$B$65,2,FALSE),"")</f>
        <v>0.40277777777777773</v>
      </c>
      <c r="AI73" s="59">
        <f>IF(Table2[[#This Row],[tee time6]]&lt;&gt;"",COUNTIF('Stableford - players'!$B$2:$B$65,"="&amp;Table2[[#This Row],[tee time6]]),"")</f>
        <v>4</v>
      </c>
      <c r="AJ73" s="59">
        <f>_xlfn.IFNA(VLOOKUP(Table2[[#This Row],[tee time6]],'Stableford - groups'!$A$3:$F$20,6,FALSE),"")</f>
        <v>20</v>
      </c>
      <c r="AK73" s="11">
        <f>_xlfn.IFNA(VLOOKUP(Table2[[#This Row],[tee time6]],'Stableford - groups'!$A$3:$F$20,4,FALSE),"")</f>
        <v>0.17152777777777778</v>
      </c>
      <c r="AL73" s="13">
        <f>_xlfn.IFNA(VLOOKUP(Table2[[#This Row],[tee time6]],'Stableford - groups'!$A$3:$F$20,5,FALSE),"")</f>
        <v>6.2499999999999778E-3</v>
      </c>
      <c r="AM73" s="68">
        <f>IF(AND(Table2[[#This Row],[gap6]]="NA",Table2[[#This Row],[round6]]&lt;4/24),0,IFERROR((MAX(starting_interval,IF(Table2[[#This Row],[gap6]]="NA",Table2[[#This Row],[avg gap]],Table2[[#This Row],[gap6]]))-starting_interval)*Table2[[#This Row],[followers6]]/Table2[[#This Row],[group size6]],""))</f>
        <v>0</v>
      </c>
      <c r="AN73" s="32">
        <f>_xlfn.IFNA(VLOOKUP(Table2[[#This Row],[Name]],'Turkey Shoot - players'!$A$2:$B$65,2,FALSE),"")</f>
        <v>0.39583333333333331</v>
      </c>
      <c r="AO73" s="59">
        <f>IF(Table2[[#This Row],[tee time7]]&lt;&gt;"",COUNTIF('Turkey Shoot - players'!$B$2:$B$65,"="&amp;Table2[[#This Row],[tee time7]]),"")</f>
        <v>4</v>
      </c>
      <c r="AP73" s="59">
        <f>_xlfn.IFNA(VLOOKUP(Table2[[#This Row],[tee time7]],'Stableford - groups'!$A$3:$F$20,6,FALSE),"")</f>
        <v>24</v>
      </c>
      <c r="AQ73" s="11">
        <f>_xlfn.IFNA(VLOOKUP(Table2[[#This Row],[tee time7]],'Turkey Shoot - groups'!$A$3:$F$20,4,FALSE),"")</f>
        <v>0.17152777777777778</v>
      </c>
      <c r="AR73" s="13">
        <f>_xlfn.IFNA(VLOOKUP(Table2[[#This Row],[tee time7]],'Turkey Shoot - groups'!$A$3:$F$20,5,FALSE),"")</f>
        <v>8.3333333333333332E-3</v>
      </c>
      <c r="AS73" s="68">
        <f>IF(AND(Table2[[#This Row],[gap7]]="NA",Table2[[#This Row],[round7]]&lt;4/24),0,IFERROR((MAX(starting_interval,IF(Table2[[#This Row],[gap7]]="NA",Table2[[#This Row],[avg gap]],Table2[[#This Row],[gap7]]))-starting_interval)*Table2[[#This Row],[followers7]]/Table2[[#This Row],[group size7]],""))</f>
        <v>8.333333333333335E-3</v>
      </c>
      <c r="AT73" s="72">
        <f>COUNT(Table2[[#This Row],[Tee time1]],Table2[[#This Row],[tee time2]],Table2[[#This Row],[tee time3]],Table2[[#This Row],[tee time4]],Table2[[#This Row],[tee time5]],Table2[[#This Row],[tee time6]],Table2[[#This Row],[tee time7]])</f>
        <v>5</v>
      </c>
      <c r="AU73" s="4">
        <f>IFERROR(AVERAGE(Table2[[#This Row],[Tee time1]],Table2[[#This Row],[tee time2]],Table2[[#This Row],[tee time3]],Table2[[#This Row],[tee time4]],Table2[[#This Row],[tee time5]],Table2[[#This Row],[tee time6]],Table2[[#This Row],[tee time7]]),"")</f>
        <v>0.41249999999999998</v>
      </c>
      <c r="AV73" s="11">
        <f>IFERROR(MEDIAN(Table2[[#This Row],[round1]],Table2[[#This Row],[Round2]],Table2[[#This Row],[round3]],Table2[[#This Row],[round4]],Table2[[#This Row],[round5]],Table2[[#This Row],[round6]],Table2[[#This Row],[round7]]),"")</f>
        <v>0.1777777777777777</v>
      </c>
      <c r="AW73" s="11">
        <f>IFERROR(AVERAGE(Table2[[#This Row],[gap1]],Table2[[#This Row],[gap2]],Table2[[#This Row],[gap3]],Table2[[#This Row],[gap4]],Table2[[#This Row],[gap5]],Table2[[#This Row],[gap6]],Table2[[#This Row],[gap7]]),"")</f>
        <v>7.2222222222222019E-3</v>
      </c>
      <c r="AX73" s="9">
        <f>IFERROR((Table2[[#This Row],[avg gap]]-starting_interval)*24*60*Table2[[#This Row],[Count]],"NA")</f>
        <v>1.999999999999857</v>
      </c>
      <c r="AY7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1.8749999999999892E-2</v>
      </c>
      <c r="AZ73" s="2"/>
    </row>
    <row r="74" spans="1:52" x14ac:dyDescent="0.3">
      <c r="A74" s="10" t="s">
        <v>47</v>
      </c>
      <c r="B74" s="1" t="s">
        <v>285</v>
      </c>
      <c r="C74" s="19">
        <v>15.2</v>
      </c>
      <c r="D74" s="32">
        <f>_xlfn.IFNA(VLOOKUP(Table2[[#This Row],[Name]],'Classic day 1 - players'!$A$2:$B$64,2,FALSE),"")</f>
        <v>0.42708333333333331</v>
      </c>
      <c r="E74" s="33">
        <f>IF(Table2[[#This Row],[Tee time1]]&lt;&gt;"",COUNTIF('Classic day 1 - players'!$B$2:$B$64,"="&amp;Table2[[#This Row],[Tee time1]]),"")</f>
        <v>4</v>
      </c>
      <c r="F74" s="33">
        <f>_xlfn.IFNA(VLOOKUP(Table2[[#This Row],[Tee time1]],'Classic day 1 - groups'!$A$3:$F$20,6,FALSE),"")</f>
        <v>8</v>
      </c>
      <c r="G74" s="11">
        <f>_xlfn.IFNA(VLOOKUP(Table2[[#This Row],[Tee time1]],'Classic day 1 - groups'!$A$3:$F$20,4,FALSE),"")</f>
        <v>0.1958333333333333</v>
      </c>
      <c r="H74" s="12">
        <f>_xlfn.IFNA(VLOOKUP(Table2[[#This Row],[Tee time1]],'Classic day 1 - groups'!$A$3:$F$20,5,FALSE),"")</f>
        <v>3.4722222222222099E-3</v>
      </c>
      <c r="I74" s="69">
        <f>IFERROR((MAX(starting_interval,IF(Table2[[#This Row],[gap1]]="NA",Table2[[#This Row],[avg gap]],Table2[[#This Row],[gap1]]))-starting_interval)*Table2[[#This Row],[followers1]]/Table2[[#This Row],[group size]],"")</f>
        <v>0</v>
      </c>
      <c r="J74" s="32">
        <f>_xlfn.IFNA(VLOOKUP(Table2[[#This Row],[Name]],'Classic day 2 - players'!$A$2:$B$64,2,FALSE),"")</f>
        <v>0.35833333333333334</v>
      </c>
      <c r="K74" s="34">
        <f>IF(Table2[[#This Row],[tee time2]]&lt;&gt;"",COUNTIF('Classic day 2 - players'!$B$2:$B$64,"="&amp;Table2[[#This Row],[tee time2]]),"")</f>
        <v>4</v>
      </c>
      <c r="L74" s="34">
        <f>_xlfn.IFNA(VLOOKUP(Table2[[#This Row],[tee time2]],'Classic day 2 - groups'!$A$3:$F$20,6,FALSE),"")</f>
        <v>36</v>
      </c>
      <c r="M74" s="4">
        <f>_xlfn.IFNA(VLOOKUP(Table2[[#This Row],[tee time2]],'Classic day 2 - groups'!$A$3:$F$20,4,FALSE),"")</f>
        <v>0.18541666666666667</v>
      </c>
      <c r="N74" s="65">
        <f>_xlfn.IFNA(VLOOKUP(Table2[[#This Row],[tee time2]],'Classic day 2 - groups'!$A$3:$F$20,5,FALSE),"")</f>
        <v>4.8611111111111112E-3</v>
      </c>
      <c r="O74" s="69">
        <f>IFERROR((MAX(starting_interval,IF(Table2[[#This Row],[gap2]]="NA",Table2[[#This Row],[avg gap]],Table2[[#This Row],[gap2]]))-starting_interval)*Table2[[#This Row],[followers2]]/Table2[[#This Row],[group size2]],"")</f>
        <v>0</v>
      </c>
      <c r="P74" s="32">
        <f>_xlfn.IFNA(VLOOKUP(Table2[[#This Row],[Name]],'Summer FD - players'!$A$2:$B$65,2,FALSE),"")</f>
        <v>0.42638888888888887</v>
      </c>
      <c r="Q74" s="59">
        <f>IF(Table2[[#This Row],[tee time3]]&lt;&gt;"",COUNTIF('Summer FD - players'!$B$2:$B$65,"="&amp;Table2[[#This Row],[tee time3]]),"")</f>
        <v>4</v>
      </c>
      <c r="R74" s="59">
        <f>_xlfn.IFNA(VLOOKUP(Table2[[#This Row],[tee time3]],'Summer FD - groups'!$A$3:$F$20,6,FALSE),"")</f>
        <v>8</v>
      </c>
      <c r="S74" s="4">
        <f>_xlfn.IFNA(VLOOKUP(Table2[[#This Row],[tee time3]],'Summer FD - groups'!$A$3:$F$20,4,FALSE),"")</f>
        <v>0.19583333333333336</v>
      </c>
      <c r="T74" s="13">
        <f>_xlfn.IFNA(VLOOKUP(Table2[[#This Row],[tee time3]],'Summer FD - groups'!$A$3:$F$20,5,FALSE),"")</f>
        <v>5.5555555555555358E-3</v>
      </c>
      <c r="U74" s="69">
        <f>IF(Table2[[#This Row],[avg gap]]&lt;&gt;"",IFERROR((MAX(starting_interval,IF(Table2[[#This Row],[gap3]]="NA",Table2[[#This Row],[avg gap]],Table2[[#This Row],[gap3]]))-starting_interval)*Table2[[#This Row],[followers3]]/Table2[[#This Row],[group size3]],""),"")</f>
        <v>0</v>
      </c>
      <c r="V74" s="32">
        <f>_xlfn.IFNA(VLOOKUP(Table2[[#This Row],[Name]],'6-6-6 - players'!$A$2:$B$69,2,FALSE),"")</f>
        <v>0.43055555555555558</v>
      </c>
      <c r="W74" s="59">
        <f>IF(Table2[[#This Row],[tee time4]]&lt;&gt;"",COUNTIF('6-6-6 - players'!$B$2:$B$69,"="&amp;Table2[[#This Row],[tee time4]]),"")</f>
        <v>4</v>
      </c>
      <c r="X74" s="59">
        <f>_xlfn.IFNA(VLOOKUP(Table2[[#This Row],[tee time4]],'6-6-6 - groups'!$A$3:$F$20,6,FALSE),"")</f>
        <v>12</v>
      </c>
      <c r="Y74" s="4">
        <f>_xlfn.IFNA(VLOOKUP(Table2[[#This Row],[tee time4]],'6-6-6 - groups'!$A$3:$F$20,4,FALSE),"")</f>
        <v>0.1777777777777777</v>
      </c>
      <c r="Z74" s="13">
        <f>_xlfn.IFNA(VLOOKUP(Table2[[#This Row],[tee time4]],'6-6-6 - groups'!$A$3:$F$20,5,FALSE),"")</f>
        <v>1.041666666666663E-2</v>
      </c>
      <c r="AA74" s="69">
        <f>IF(Table2[[#This Row],[avg gap]]&lt;&gt;"",IFERROR((MAX(starting_interval,IF(Table2[[#This Row],[gap4]]="NA",Table2[[#This Row],[avg gap]],Table2[[#This Row],[gap4]]))-starting_interval)*Table2[[#This Row],[followers4]]/Table2[[#This Row],[group size4]],""),"")</f>
        <v>1.0416666666666557E-2</v>
      </c>
      <c r="AB74" s="32">
        <f>_xlfn.IFNA(VLOOKUP(Table2[[#This Row],[Name]],'Fall FD - players'!$A$2:$B$65,2,FALSE),"")</f>
        <v>0.4069444444444445</v>
      </c>
      <c r="AC74" s="59">
        <f>IF(Table2[[#This Row],[tee time5]]&lt;&gt;"",COUNTIF('Fall FD - players'!$B$2:$B$65,"="&amp;Table2[[#This Row],[tee time5]]),"")</f>
        <v>4</v>
      </c>
      <c r="AD74" s="59">
        <f>_xlfn.IFNA(VLOOKUP(Table2[[#This Row],[tee time5]],'Fall FD - groups'!$A$3:$F$20,6,FALSE),"")</f>
        <v>28</v>
      </c>
      <c r="AE74" s="4">
        <f>_xlfn.IFNA(VLOOKUP(Table2[[#This Row],[tee time5]],'Fall FD - groups'!$A$3:$F$20,4,FALSE),"")</f>
        <v>0.18194444444444452</v>
      </c>
      <c r="AF74" s="13">
        <f>IFERROR(MIN(_xlfn.IFNA(VLOOKUP(Table2[[#This Row],[tee time5]],'Fall FD - groups'!$A$3:$F$20,5,FALSE),""),starting_interval + Table2[[#This Row],[round5]] - standard_round_time),"")</f>
        <v>5.5555555555555358E-3</v>
      </c>
      <c r="AG74" s="69">
        <f>IF(AND(Table2[[#This Row],[gap5]]="NA",Table2[[#This Row],[round5]]&lt;4/24),0,IFERROR((MAX(starting_interval,IF(Table2[[#This Row],[gap5]]="NA",Table2[[#This Row],[avg gap]],Table2[[#This Row],[gap5]]))-starting_interval)*Table2[[#This Row],[followers5]]/Table2[[#This Row],[group size5]],""))</f>
        <v>0</v>
      </c>
      <c r="AH74" s="32">
        <f>_xlfn.IFNA(VLOOKUP(Table2[[#This Row],[Name]],'Stableford - players'!$A$2:$B$65,2,FALSE),"")</f>
        <v>0.40277777777777773</v>
      </c>
      <c r="AI74" s="59">
        <f>IF(Table2[[#This Row],[tee time6]]&lt;&gt;"",COUNTIF('Stableford - players'!$B$2:$B$65,"="&amp;Table2[[#This Row],[tee time6]]),"")</f>
        <v>4</v>
      </c>
      <c r="AJ74" s="59">
        <f>_xlfn.IFNA(VLOOKUP(Table2[[#This Row],[tee time6]],'Stableford - groups'!$A$3:$F$20,6,FALSE),"")</f>
        <v>20</v>
      </c>
      <c r="AK74" s="11">
        <f>_xlfn.IFNA(VLOOKUP(Table2[[#This Row],[tee time6]],'Stableford - groups'!$A$3:$F$20,4,FALSE),"")</f>
        <v>0.17152777777777778</v>
      </c>
      <c r="AL74" s="13">
        <f>_xlfn.IFNA(VLOOKUP(Table2[[#This Row],[tee time6]],'Stableford - groups'!$A$3:$F$20,5,FALSE),"")</f>
        <v>6.2499999999999778E-3</v>
      </c>
      <c r="AM74" s="68">
        <f>IF(AND(Table2[[#This Row],[gap6]]="NA",Table2[[#This Row],[round6]]&lt;4/24),0,IFERROR((MAX(starting_interval,IF(Table2[[#This Row],[gap6]]="NA",Table2[[#This Row],[avg gap]],Table2[[#This Row],[gap6]]))-starting_interval)*Table2[[#This Row],[followers6]]/Table2[[#This Row],[group size6]],""))</f>
        <v>0</v>
      </c>
      <c r="AN74" s="32">
        <f>_xlfn.IFNA(VLOOKUP(Table2[[#This Row],[Name]],'Turkey Shoot - players'!$A$2:$B$65,2,FALSE),"")</f>
        <v>0.39583333333333331</v>
      </c>
      <c r="AO74" s="59">
        <f>IF(Table2[[#This Row],[tee time7]]&lt;&gt;"",COUNTIF('Turkey Shoot - players'!$B$2:$B$65,"="&amp;Table2[[#This Row],[tee time7]]),"")</f>
        <v>4</v>
      </c>
      <c r="AP74" s="59">
        <f>_xlfn.IFNA(VLOOKUP(Table2[[#This Row],[tee time7]],'Stableford - groups'!$A$3:$F$20,6,FALSE),"")</f>
        <v>24</v>
      </c>
      <c r="AQ74" s="11">
        <f>_xlfn.IFNA(VLOOKUP(Table2[[#This Row],[tee time7]],'Turkey Shoot - groups'!$A$3:$F$20,4,FALSE),"")</f>
        <v>0.17152777777777778</v>
      </c>
      <c r="AR74" s="13">
        <f>_xlfn.IFNA(VLOOKUP(Table2[[#This Row],[tee time7]],'Turkey Shoot - groups'!$A$3:$F$20,5,FALSE),"")</f>
        <v>8.3333333333333332E-3</v>
      </c>
      <c r="AS74" s="68">
        <f>IF(AND(Table2[[#This Row],[gap7]]="NA",Table2[[#This Row],[round7]]&lt;4/24),0,IFERROR((MAX(starting_interval,IF(Table2[[#This Row],[gap7]]="NA",Table2[[#This Row],[avg gap]],Table2[[#This Row],[gap7]]))-starting_interval)*Table2[[#This Row],[followers7]]/Table2[[#This Row],[group size7]],""))</f>
        <v>8.333333333333335E-3</v>
      </c>
      <c r="AT74" s="72">
        <f>COUNT(Table2[[#This Row],[Tee time1]],Table2[[#This Row],[tee time2]],Table2[[#This Row],[tee time3]],Table2[[#This Row],[tee time4]],Table2[[#This Row],[tee time5]],Table2[[#This Row],[tee time6]],Table2[[#This Row],[tee time7]])</f>
        <v>7</v>
      </c>
      <c r="AU74" s="4">
        <f>IFERROR(AVERAGE(Table2[[#This Row],[Tee time1]],Table2[[#This Row],[tee time2]],Table2[[#This Row],[tee time3]],Table2[[#This Row],[tee time4]],Table2[[#This Row],[tee time5]],Table2[[#This Row],[tee time6]],Table2[[#This Row],[tee time7]]),"")</f>
        <v>0.40684523809523815</v>
      </c>
      <c r="AV74" s="11">
        <f>IFERROR(MEDIAN(Table2[[#This Row],[round1]],Table2[[#This Row],[Round2]],Table2[[#This Row],[round3]],Table2[[#This Row],[round4]],Table2[[#This Row],[round5]],Table2[[#This Row],[round6]],Table2[[#This Row],[round7]]),"")</f>
        <v>0.18194444444444452</v>
      </c>
      <c r="AW74" s="11">
        <f>IFERROR(AVERAGE(Table2[[#This Row],[gap1]],Table2[[#This Row],[gap2]],Table2[[#This Row],[gap3]],Table2[[#This Row],[gap4]],Table2[[#This Row],[gap5]],Table2[[#This Row],[gap6]],Table2[[#This Row],[gap7]]),"")</f>
        <v>6.3492063492063327E-3</v>
      </c>
      <c r="AX74" s="9">
        <f>IFERROR((Table2[[#This Row],[avg gap]]-starting_interval)*24*60*Table2[[#This Row],[Count]],"NA")</f>
        <v>-6.0000000000001616</v>
      </c>
      <c r="AY7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1.8749999999999892E-2</v>
      </c>
      <c r="AZ74" s="2"/>
    </row>
    <row r="75" spans="1:52" x14ac:dyDescent="0.3">
      <c r="A75" s="10" t="s">
        <v>179</v>
      </c>
      <c r="B75" s="1" t="s">
        <v>419</v>
      </c>
      <c r="C75" s="19">
        <v>13.9</v>
      </c>
      <c r="D75" s="32">
        <f>_xlfn.IFNA(VLOOKUP(Table2[[#This Row],[Name]],'Classic day 1 - players'!$A$2:$B$64,2,FALSE),"")</f>
        <v>0.43958333333333338</v>
      </c>
      <c r="E75" s="33">
        <f>IF(Table2[[#This Row],[Tee time1]]&lt;&gt;"",COUNTIF('Classic day 1 - players'!$B$2:$B$64,"="&amp;Table2[[#This Row],[Tee time1]]),"")</f>
        <v>2</v>
      </c>
      <c r="F75" s="33">
        <f>_xlfn.IFNA(VLOOKUP(Table2[[#This Row],[Tee time1]],'Classic day 1 - groups'!$A$3:$F$20,6,FALSE),"")</f>
        <v>0</v>
      </c>
      <c r="G75" s="11">
        <f>_xlfn.IFNA(VLOOKUP(Table2[[#This Row],[Tee time1]],'Classic day 1 - groups'!$A$3:$F$20,4,FALSE),"")</f>
        <v>0.19930555555555557</v>
      </c>
      <c r="H75" s="12">
        <f>_xlfn.IFNA(VLOOKUP(Table2[[#This Row],[Tee time1]],'Classic day 1 - groups'!$A$3:$F$20,5,FALSE),"")</f>
        <v>8.3333333333334147E-3</v>
      </c>
      <c r="I75" s="69">
        <f>IFERROR((MAX(starting_interval,IF(Table2[[#This Row],[gap1]]="NA",Table2[[#This Row],[avg gap]],Table2[[#This Row],[gap1]]))-starting_interval)*Table2[[#This Row],[followers1]]/Table2[[#This Row],[group size]],"")</f>
        <v>0</v>
      </c>
      <c r="J75" s="32">
        <f>_xlfn.IFNA(VLOOKUP(Table2[[#This Row],[Name]],'Classic day 2 - players'!$A$2:$B$64,2,FALSE),"")</f>
        <v>0.33333333333333331</v>
      </c>
      <c r="K75" s="33">
        <f>IF(Table2[[#This Row],[tee time2]]&lt;&gt;"",COUNTIF('Classic day 2 - players'!$B$2:$B$64,"="&amp;Table2[[#This Row],[tee time2]]),"")</f>
        <v>4</v>
      </c>
      <c r="L75" s="33">
        <f>_xlfn.IFNA(VLOOKUP(Table2[[#This Row],[tee time2]],'Classic day 2 - groups'!$A$3:$F$20,6,FALSE),"")</f>
        <v>52</v>
      </c>
      <c r="M75" s="4">
        <f>_xlfn.IFNA(VLOOKUP(Table2[[#This Row],[tee time2]],'Classic day 2 - groups'!$A$3:$F$20,4,FALSE),"")</f>
        <v>0.16805555555555554</v>
      </c>
      <c r="N75" s="65" t="str">
        <f>_xlfn.IFNA(VLOOKUP(Table2[[#This Row],[tee time2]],'Classic day 2 - groups'!$A$3:$F$20,5,FALSE),"")</f>
        <v>NA</v>
      </c>
      <c r="O75" s="69">
        <f>IFERROR((MAX(starting_interval,IF(Table2[[#This Row],[gap2]]="NA",Table2[[#This Row],[avg gap]],Table2[[#This Row],[gap2]]))-starting_interval)*Table2[[#This Row],[followers2]]/Table2[[#This Row],[group size2]],"")</f>
        <v>1.8055555555556619E-2</v>
      </c>
      <c r="P75" s="32" t="str">
        <f>_xlfn.IFNA(VLOOKUP(Table2[[#This Row],[Name]],'Summer FD - players'!$A$2:$B$65,2,FALSE),"")</f>
        <v/>
      </c>
      <c r="Q75" s="59" t="str">
        <f>IF(Table2[[#This Row],[tee time3]]&lt;&gt;"",COUNTIF('Summer FD - players'!$B$2:$B$65,"="&amp;Table2[[#This Row],[tee time3]]),"")</f>
        <v/>
      </c>
      <c r="R75" s="59" t="str">
        <f>_xlfn.IFNA(VLOOKUP(Table2[[#This Row],[tee time3]],'Summer FD - groups'!$A$3:$F$20,6,FALSE),"")</f>
        <v/>
      </c>
      <c r="S75" s="4" t="str">
        <f>_xlfn.IFNA(VLOOKUP(Table2[[#This Row],[tee time3]],'Summer FD - groups'!$A$3:$F$20,4,FALSE),"")</f>
        <v/>
      </c>
      <c r="T75" s="13" t="str">
        <f>_xlfn.IFNA(VLOOKUP(Table2[[#This Row],[tee time3]],'Summer FD - groups'!$A$3:$F$20,5,FALSE),"")</f>
        <v/>
      </c>
      <c r="U75" s="69" t="str">
        <f>IF(Table2[[#This Row],[avg gap]]&lt;&gt;"",IFERROR((MAX(starting_interval,IF(Table2[[#This Row],[gap3]]="NA",Table2[[#This Row],[avg gap]],Table2[[#This Row],[gap3]]))-starting_interval)*Table2[[#This Row],[followers3]]/Table2[[#This Row],[group size3]],""),"")</f>
        <v/>
      </c>
      <c r="V75" s="32" t="str">
        <f>_xlfn.IFNA(VLOOKUP(Table2[[#This Row],[Name]],'6-6-6 - players'!$A$2:$B$69,2,FALSE),"")</f>
        <v/>
      </c>
      <c r="W75" s="59" t="str">
        <f>IF(Table2[[#This Row],[tee time4]]&lt;&gt;"",COUNTIF('6-6-6 - players'!$B$2:$B$69,"="&amp;Table2[[#This Row],[tee time4]]),"")</f>
        <v/>
      </c>
      <c r="X75" s="59" t="str">
        <f>_xlfn.IFNA(VLOOKUP(Table2[[#This Row],[tee time4]],'6-6-6 - groups'!$A$3:$F$20,6,FALSE),"")</f>
        <v/>
      </c>
      <c r="Y75" s="4" t="str">
        <f>_xlfn.IFNA(VLOOKUP(Table2[[#This Row],[tee time4]],'6-6-6 - groups'!$A$3:$F$20,4,FALSE),"")</f>
        <v/>
      </c>
      <c r="Z75" s="13" t="str">
        <f>_xlfn.IFNA(VLOOKUP(Table2[[#This Row],[tee time4]],'6-6-6 - groups'!$A$3:$F$20,5,FALSE),"")</f>
        <v/>
      </c>
      <c r="AA75" s="69" t="str">
        <f>IF(Table2[[#This Row],[avg gap]]&lt;&gt;"",IFERROR((MAX(starting_interval,IF(Table2[[#This Row],[gap4]]="NA",Table2[[#This Row],[avg gap]],Table2[[#This Row],[gap4]]))-starting_interval)*Table2[[#This Row],[followers4]]/Table2[[#This Row],[group size4]],""),"")</f>
        <v/>
      </c>
      <c r="AB75" s="32" t="str">
        <f>_xlfn.IFNA(VLOOKUP(Table2[[#This Row],[Name]],'Fall FD - players'!$A$2:$B$65,2,FALSE),"")</f>
        <v/>
      </c>
      <c r="AC75" s="59" t="str">
        <f>IF(Table2[[#This Row],[tee time5]]&lt;&gt;"",COUNTIF('Fall FD - players'!$B$2:$B$65,"="&amp;Table2[[#This Row],[tee time5]]),"")</f>
        <v/>
      </c>
      <c r="AD75" s="59" t="str">
        <f>_xlfn.IFNA(VLOOKUP(Table2[[#This Row],[tee time5]],'Fall FD - groups'!$A$3:$F$20,6,FALSE),"")</f>
        <v/>
      </c>
      <c r="AE75" s="4" t="str">
        <f>_xlfn.IFNA(VLOOKUP(Table2[[#This Row],[tee time5]],'Fall FD - groups'!$A$3:$F$20,4,FALSE),"")</f>
        <v/>
      </c>
      <c r="AF75" s="13" t="str">
        <f>IFERROR(MIN(_xlfn.IFNA(VLOOKUP(Table2[[#This Row],[tee time5]],'Fall FD - groups'!$A$3:$F$20,5,FALSE),""),starting_interval + Table2[[#This Row],[round5]] - standard_round_time),"")</f>
        <v/>
      </c>
      <c r="AG75" s="69" t="str">
        <f>IF(AND(Table2[[#This Row],[gap5]]="NA",Table2[[#This Row],[round5]]&lt;4/24),0,IFERROR((MAX(starting_interval,IF(Table2[[#This Row],[gap5]]="NA",Table2[[#This Row],[avg gap]],Table2[[#This Row],[gap5]]))-starting_interval)*Table2[[#This Row],[followers5]]/Table2[[#This Row],[group size5]],""))</f>
        <v/>
      </c>
      <c r="AH75" s="32" t="str">
        <f>_xlfn.IFNA(VLOOKUP(Table2[[#This Row],[Name]],'Stableford - players'!$A$2:$B$65,2,FALSE),"")</f>
        <v/>
      </c>
      <c r="AI75" s="59" t="str">
        <f>IF(Table2[[#This Row],[tee time6]]&lt;&gt;"",COUNTIF('Stableford - players'!$B$2:$B$65,"="&amp;Table2[[#This Row],[tee time6]]),"")</f>
        <v/>
      </c>
      <c r="AJ75" s="59" t="str">
        <f>_xlfn.IFNA(VLOOKUP(Table2[[#This Row],[tee time6]],'Stableford - groups'!$A$3:$F$20,6,FALSE),"")</f>
        <v/>
      </c>
      <c r="AK75" s="11" t="str">
        <f>_xlfn.IFNA(VLOOKUP(Table2[[#This Row],[tee time6]],'Stableford - groups'!$A$3:$F$20,4,FALSE),"")</f>
        <v/>
      </c>
      <c r="AL75" s="13" t="str">
        <f>_xlfn.IFNA(VLOOKUP(Table2[[#This Row],[tee time6]],'Stableford - groups'!$A$3:$F$20,5,FALSE),"")</f>
        <v/>
      </c>
      <c r="AM75" s="68" t="str">
        <f>IF(AND(Table2[[#This Row],[gap6]]="NA",Table2[[#This Row],[round6]]&lt;4/24),0,IFERROR((MAX(starting_interval,IF(Table2[[#This Row],[gap6]]="NA",Table2[[#This Row],[avg gap]],Table2[[#This Row],[gap6]]))-starting_interval)*Table2[[#This Row],[followers6]]/Table2[[#This Row],[group size6]],""))</f>
        <v/>
      </c>
      <c r="AN75" s="32" t="str">
        <f>_xlfn.IFNA(VLOOKUP(Table2[[#This Row],[Name]],'Turkey Shoot - players'!$A$2:$B$65,2,FALSE),"")</f>
        <v/>
      </c>
      <c r="AO75" s="59" t="str">
        <f>IF(Table2[[#This Row],[tee time7]]&lt;&gt;"",COUNTIF('Turkey Shoot - players'!$B$2:$B$65,"="&amp;Table2[[#This Row],[tee time7]]),"")</f>
        <v/>
      </c>
      <c r="AP75" s="59" t="str">
        <f>_xlfn.IFNA(VLOOKUP(Table2[[#This Row],[tee time7]],'Stableford - groups'!$A$3:$F$20,6,FALSE),"")</f>
        <v/>
      </c>
      <c r="AQ75" s="11" t="str">
        <f>_xlfn.IFNA(VLOOKUP(Table2[[#This Row],[tee time7]],'Turkey Shoot - groups'!$A$3:$F$20,4,FALSE),"")</f>
        <v/>
      </c>
      <c r="AR75" s="13" t="str">
        <f>_xlfn.IFNA(VLOOKUP(Table2[[#This Row],[tee time7]],'Turkey Shoot - groups'!$A$3:$F$20,5,FALSE),"")</f>
        <v/>
      </c>
      <c r="AS75" s="68" t="str">
        <f>IF(AND(Table2[[#This Row],[gap7]]="NA",Table2[[#This Row],[round7]]&lt;4/24),0,IFERROR((MAX(starting_interval,IF(Table2[[#This Row],[gap7]]="NA",Table2[[#This Row],[avg gap]],Table2[[#This Row],[gap7]]))-starting_interval)*Table2[[#This Row],[followers7]]/Table2[[#This Row],[group size7]],""))</f>
        <v/>
      </c>
      <c r="AT75" s="72">
        <f>COUNT(Table2[[#This Row],[Tee time1]],Table2[[#This Row],[tee time2]],Table2[[#This Row],[tee time3]],Table2[[#This Row],[tee time4]],Table2[[#This Row],[tee time5]],Table2[[#This Row],[tee time6]],Table2[[#This Row],[tee time7]])</f>
        <v>2</v>
      </c>
      <c r="AU75" s="4">
        <f>IFERROR(AVERAGE(Table2[[#This Row],[Tee time1]],Table2[[#This Row],[tee time2]],Table2[[#This Row],[tee time3]],Table2[[#This Row],[tee time4]],Table2[[#This Row],[tee time5]],Table2[[#This Row],[tee time6]],Table2[[#This Row],[tee time7]]),"")</f>
        <v>0.38645833333333335</v>
      </c>
      <c r="AV75" s="11">
        <f>IFERROR(MEDIAN(Table2[[#This Row],[round1]],Table2[[#This Row],[Round2]],Table2[[#This Row],[round3]],Table2[[#This Row],[round4]],Table2[[#This Row],[round5]],Table2[[#This Row],[round6]],Table2[[#This Row],[round7]]),"")</f>
        <v>0.18368055555555557</v>
      </c>
      <c r="AW75" s="11">
        <f>IFERROR(AVERAGE(Table2[[#This Row],[gap1]],Table2[[#This Row],[gap2]],Table2[[#This Row],[gap3]],Table2[[#This Row],[gap4]],Table2[[#This Row],[gap5]],Table2[[#This Row],[gap6]],Table2[[#This Row],[gap7]]),"")</f>
        <v>8.3333333333334147E-3</v>
      </c>
      <c r="AX75" s="9">
        <f>IFERROR((Table2[[#This Row],[avg gap]]-starting_interval)*24*60*Table2[[#This Row],[Count]],"NA")</f>
        <v>4.0000000000002354</v>
      </c>
      <c r="AY7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1.8055555555556619E-2</v>
      </c>
      <c r="AZ75" s="2"/>
    </row>
    <row r="76" spans="1:52" x14ac:dyDescent="0.3">
      <c r="A76" s="10" t="s">
        <v>101</v>
      </c>
      <c r="B76" s="1" t="s">
        <v>340</v>
      </c>
      <c r="C76" s="19">
        <v>6.7</v>
      </c>
      <c r="D76" s="32" t="str">
        <f>_xlfn.IFNA(VLOOKUP(Table2[[#This Row],[Name]],'Classic day 1 - players'!$A$2:$B$64,2,FALSE),"")</f>
        <v/>
      </c>
      <c r="E76" s="33" t="str">
        <f>IF(Table2[[#This Row],[Tee time1]]&lt;&gt;"",COUNTIF('Classic day 1 - players'!$B$2:$B$64,"="&amp;Table2[[#This Row],[Tee time1]]),"")</f>
        <v/>
      </c>
      <c r="F76" s="33" t="str">
        <f>_xlfn.IFNA(VLOOKUP(Table2[[#This Row],[Tee time1]],'Classic day 1 - groups'!$A$3:$F$20,6,FALSE),"")</f>
        <v/>
      </c>
      <c r="G76" s="11" t="str">
        <f>_xlfn.IFNA(VLOOKUP(Table2[[#This Row],[Tee time1]],'Classic day 1 - groups'!$A$3:$F$20,4,FALSE),"")</f>
        <v/>
      </c>
      <c r="H76" s="12" t="str">
        <f>_xlfn.IFNA(VLOOKUP(Table2[[#This Row],[Tee time1]],'Classic day 1 - groups'!$A$3:$F$20,5,FALSE),"")</f>
        <v/>
      </c>
      <c r="I76" s="69" t="str">
        <f>IFERROR((MAX(starting_interval,IF(Table2[[#This Row],[gap1]]="NA",Table2[[#This Row],[avg gap]],Table2[[#This Row],[gap1]]))-starting_interval)*Table2[[#This Row],[followers1]]/Table2[[#This Row],[group size]],"")</f>
        <v/>
      </c>
      <c r="J76" s="32" t="str">
        <f>_xlfn.IFNA(VLOOKUP(Table2[[#This Row],[Name]],'Classic day 2 - players'!$A$2:$B$64,2,FALSE),"")</f>
        <v/>
      </c>
      <c r="K76" s="33" t="str">
        <f>IF(Table2[[#This Row],[tee time2]]&lt;&gt;"",COUNTIF('Classic day 2 - players'!$B$2:$B$64,"="&amp;Table2[[#This Row],[tee time2]]),"")</f>
        <v/>
      </c>
      <c r="L76" s="33" t="str">
        <f>_xlfn.IFNA(VLOOKUP(Table2[[#This Row],[tee time2]],'Classic day 2 - groups'!$A$3:$F$20,6,FALSE),"")</f>
        <v/>
      </c>
      <c r="M76" s="4" t="str">
        <f>_xlfn.IFNA(VLOOKUP(Table2[[#This Row],[tee time2]],'Classic day 2 - groups'!$A$3:$F$20,4,FALSE),"")</f>
        <v/>
      </c>
      <c r="N76" s="65" t="str">
        <f>_xlfn.IFNA(VLOOKUP(Table2[[#This Row],[tee time2]],'Classic day 2 - groups'!$A$3:$F$20,5,FALSE),"")</f>
        <v/>
      </c>
      <c r="O76" s="69" t="str">
        <f>IFERROR((MAX(starting_interval,IF(Table2[[#This Row],[gap2]]="NA",Table2[[#This Row],[avg gap]],Table2[[#This Row],[gap2]]))-starting_interval)*Table2[[#This Row],[followers2]]/Table2[[#This Row],[group size2]],"")</f>
        <v/>
      </c>
      <c r="P76" s="32" t="str">
        <f>_xlfn.IFNA(VLOOKUP(Table2[[#This Row],[Name]],'Summer FD - players'!$A$2:$B$65,2,FALSE),"")</f>
        <v/>
      </c>
      <c r="Q76" s="59" t="str">
        <f>IF(Table2[[#This Row],[tee time3]]&lt;&gt;"",COUNTIF('Summer FD - players'!$B$2:$B$65,"="&amp;Table2[[#This Row],[tee time3]]),"")</f>
        <v/>
      </c>
      <c r="R76" s="59" t="str">
        <f>_xlfn.IFNA(VLOOKUP(Table2[[#This Row],[tee time3]],'Summer FD - groups'!$A$3:$F$20,6,FALSE),"")</f>
        <v/>
      </c>
      <c r="S76" s="4" t="str">
        <f>_xlfn.IFNA(VLOOKUP(Table2[[#This Row],[tee time3]],'Summer FD - groups'!$A$3:$F$20,4,FALSE),"")</f>
        <v/>
      </c>
      <c r="T76" s="13" t="str">
        <f>_xlfn.IFNA(VLOOKUP(Table2[[#This Row],[tee time3]],'Summer FD - groups'!$A$3:$F$20,5,FALSE),"")</f>
        <v/>
      </c>
      <c r="U76" s="69" t="str">
        <f>IF(Table2[[#This Row],[avg gap]]&lt;&gt;"",IFERROR((MAX(starting_interval,IF(Table2[[#This Row],[gap3]]="NA",Table2[[#This Row],[avg gap]],Table2[[#This Row],[gap3]]))-starting_interval)*Table2[[#This Row],[followers3]]/Table2[[#This Row],[group size3]],""),"")</f>
        <v/>
      </c>
      <c r="V76" s="32">
        <f>_xlfn.IFNA(VLOOKUP(Table2[[#This Row],[Name]],'6-6-6 - players'!$A$2:$B$69,2,FALSE),"")</f>
        <v>0.3611111111111111</v>
      </c>
      <c r="W76" s="59">
        <f>IF(Table2[[#This Row],[tee time4]]&lt;&gt;"",COUNTIF('6-6-6 - players'!$B$2:$B$69,"="&amp;Table2[[#This Row],[tee time4]]),"")</f>
        <v>4</v>
      </c>
      <c r="X76" s="59">
        <f>_xlfn.IFNA(VLOOKUP(Table2[[#This Row],[tee time4]],'6-6-6 - groups'!$A$3:$F$20,6,FALSE),"")</f>
        <v>52</v>
      </c>
      <c r="Y76" s="4">
        <f>_xlfn.IFNA(VLOOKUP(Table2[[#This Row],[tee time4]],'6-6-6 - groups'!$A$3:$F$20,4,FALSE),"")</f>
        <v>0.17430555555555555</v>
      </c>
      <c r="Z76" s="13">
        <f>_xlfn.IFNA(VLOOKUP(Table2[[#This Row],[tee time4]],'6-6-6 - groups'!$A$3:$F$20,5,FALSE),"")</f>
        <v>8.3333333333333037E-3</v>
      </c>
      <c r="AA76" s="69">
        <f>IF(Table2[[#This Row],[avg gap]]&lt;&gt;"",IFERROR((MAX(starting_interval,IF(Table2[[#This Row],[gap4]]="NA",Table2[[#This Row],[avg gap]],Table2[[#This Row],[gap4]]))-starting_interval)*Table2[[#This Row],[followers4]]/Table2[[#This Row],[group size4]],""),"")</f>
        <v>1.8055555555555176E-2</v>
      </c>
      <c r="AB76" s="32">
        <f>_xlfn.IFNA(VLOOKUP(Table2[[#This Row],[Name]],'Fall FD - players'!$A$2:$B$65,2,FALSE),"")</f>
        <v>0.45555555555555555</v>
      </c>
      <c r="AC76" s="59">
        <f>IF(Table2[[#This Row],[tee time5]]&lt;&gt;"",COUNTIF('Fall FD - players'!$B$2:$B$65,"="&amp;Table2[[#This Row],[tee time5]]),"")</f>
        <v>4</v>
      </c>
      <c r="AD76" s="59">
        <f>_xlfn.IFNA(VLOOKUP(Table2[[#This Row],[tee time5]],'Fall FD - groups'!$A$3:$F$20,6,FALSE),"")</f>
        <v>0</v>
      </c>
      <c r="AE76" s="4">
        <f>_xlfn.IFNA(VLOOKUP(Table2[[#This Row],[tee time5]],'Fall FD - groups'!$A$3:$F$20,4,FALSE),"")</f>
        <v>0.17777777777777776</v>
      </c>
      <c r="AF76" s="13">
        <f>IFERROR(MIN(_xlfn.IFNA(VLOOKUP(Table2[[#This Row],[tee time5]],'Fall FD - groups'!$A$3:$F$20,5,FALSE),""),starting_interval + Table2[[#This Row],[round5]] - standard_round_time),"")</f>
        <v>8.3333333333333037E-3</v>
      </c>
      <c r="AG76" s="69">
        <f>IF(AND(Table2[[#This Row],[gap5]]="NA",Table2[[#This Row],[round5]]&lt;4/24),0,IFERROR((MAX(starting_interval,IF(Table2[[#This Row],[gap5]]="NA",Table2[[#This Row],[avg gap]],Table2[[#This Row],[gap5]]))-starting_interval)*Table2[[#This Row],[followers5]]/Table2[[#This Row],[group size5]],""))</f>
        <v>0</v>
      </c>
      <c r="AH76" s="32" t="str">
        <f>_xlfn.IFNA(VLOOKUP(Table2[[#This Row],[Name]],'Stableford - players'!$A$2:$B$65,2,FALSE),"")</f>
        <v/>
      </c>
      <c r="AI76" s="59" t="str">
        <f>IF(Table2[[#This Row],[tee time6]]&lt;&gt;"",COUNTIF('Stableford - players'!$B$2:$B$65,"="&amp;Table2[[#This Row],[tee time6]]),"")</f>
        <v/>
      </c>
      <c r="AJ76" s="59" t="str">
        <f>_xlfn.IFNA(VLOOKUP(Table2[[#This Row],[tee time6]],'Stableford - groups'!$A$3:$F$20,6,FALSE),"")</f>
        <v/>
      </c>
      <c r="AK76" s="11" t="str">
        <f>_xlfn.IFNA(VLOOKUP(Table2[[#This Row],[tee time6]],'Stableford - groups'!$A$3:$F$20,4,FALSE),"")</f>
        <v/>
      </c>
      <c r="AL76" s="13" t="str">
        <f>_xlfn.IFNA(VLOOKUP(Table2[[#This Row],[tee time6]],'Stableford - groups'!$A$3:$F$20,5,FALSE),"")</f>
        <v/>
      </c>
      <c r="AM76" s="68" t="str">
        <f>IF(AND(Table2[[#This Row],[gap6]]="NA",Table2[[#This Row],[round6]]&lt;4/24),0,IFERROR((MAX(starting_interval,IF(Table2[[#This Row],[gap6]]="NA",Table2[[#This Row],[avg gap]],Table2[[#This Row],[gap6]]))-starting_interval)*Table2[[#This Row],[followers6]]/Table2[[#This Row],[group size6]],""))</f>
        <v/>
      </c>
      <c r="AN76" s="32" t="str">
        <f>_xlfn.IFNA(VLOOKUP(Table2[[#This Row],[Name]],'Turkey Shoot - players'!$A$2:$B$65,2,FALSE),"")</f>
        <v/>
      </c>
      <c r="AO76" s="59" t="str">
        <f>IF(Table2[[#This Row],[tee time7]]&lt;&gt;"",COUNTIF('Turkey Shoot - players'!$B$2:$B$65,"="&amp;Table2[[#This Row],[tee time7]]),"")</f>
        <v/>
      </c>
      <c r="AP76" s="59" t="str">
        <f>_xlfn.IFNA(VLOOKUP(Table2[[#This Row],[tee time7]],'Stableford - groups'!$A$3:$F$20,6,FALSE),"")</f>
        <v/>
      </c>
      <c r="AQ76" s="11" t="str">
        <f>_xlfn.IFNA(VLOOKUP(Table2[[#This Row],[tee time7]],'Turkey Shoot - groups'!$A$3:$F$20,4,FALSE),"")</f>
        <v/>
      </c>
      <c r="AR76" s="13" t="str">
        <f>_xlfn.IFNA(VLOOKUP(Table2[[#This Row],[tee time7]],'Turkey Shoot - groups'!$A$3:$F$20,5,FALSE),"")</f>
        <v/>
      </c>
      <c r="AS76" s="68" t="str">
        <f>IF(AND(Table2[[#This Row],[gap7]]="NA",Table2[[#This Row],[round7]]&lt;4/24),0,IFERROR((MAX(starting_interval,IF(Table2[[#This Row],[gap7]]="NA",Table2[[#This Row],[avg gap]],Table2[[#This Row],[gap7]]))-starting_interval)*Table2[[#This Row],[followers7]]/Table2[[#This Row],[group size7]],""))</f>
        <v/>
      </c>
      <c r="AT76" s="72">
        <f>COUNT(Table2[[#This Row],[Tee time1]],Table2[[#This Row],[tee time2]],Table2[[#This Row],[tee time3]],Table2[[#This Row],[tee time4]],Table2[[#This Row],[tee time5]],Table2[[#This Row],[tee time6]],Table2[[#This Row],[tee time7]])</f>
        <v>2</v>
      </c>
      <c r="AU76" s="4">
        <f>IFERROR(AVERAGE(Table2[[#This Row],[Tee time1]],Table2[[#This Row],[tee time2]],Table2[[#This Row],[tee time3]],Table2[[#This Row],[tee time4]],Table2[[#This Row],[tee time5]],Table2[[#This Row],[tee time6]],Table2[[#This Row],[tee time7]]),"")</f>
        <v>0.40833333333333333</v>
      </c>
      <c r="AV76" s="11">
        <f>IFERROR(MEDIAN(Table2[[#This Row],[round1]],Table2[[#This Row],[Round2]],Table2[[#This Row],[round3]],Table2[[#This Row],[round4]],Table2[[#This Row],[round5]],Table2[[#This Row],[round6]],Table2[[#This Row],[round7]]),"")</f>
        <v>0.17604166666666665</v>
      </c>
      <c r="AW76" s="11">
        <f>IFERROR(AVERAGE(Table2[[#This Row],[gap1]],Table2[[#This Row],[gap2]],Table2[[#This Row],[gap3]],Table2[[#This Row],[gap4]],Table2[[#This Row],[gap5]],Table2[[#This Row],[gap6]],Table2[[#This Row],[gap7]]),"")</f>
        <v>8.3333333333333037E-3</v>
      </c>
      <c r="AX76" s="9">
        <f>IFERROR((Table2[[#This Row],[avg gap]]-starting_interval)*24*60*Table2[[#This Row],[Count]],"NA")</f>
        <v>3.9999999999999156</v>
      </c>
      <c r="AY7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1.8055555555555176E-2</v>
      </c>
      <c r="AZ76" s="2"/>
    </row>
    <row r="77" spans="1:52" x14ac:dyDescent="0.3">
      <c r="A77" s="10" t="s">
        <v>204</v>
      </c>
      <c r="B77" s="1" t="s">
        <v>445</v>
      </c>
      <c r="C77" s="19">
        <v>11.6</v>
      </c>
      <c r="D77" s="32" t="str">
        <f>_xlfn.IFNA(VLOOKUP(Table2[[#This Row],[Name]],'Classic day 1 - players'!$A$2:$B$64,2,FALSE),"")</f>
        <v/>
      </c>
      <c r="E77" s="33" t="str">
        <f>IF(Table2[[#This Row],[Tee time1]]&lt;&gt;"",COUNTIF('Classic day 1 - players'!$B$2:$B$64,"="&amp;Table2[[#This Row],[Tee time1]]),"")</f>
        <v/>
      </c>
      <c r="F77" s="33" t="str">
        <f>_xlfn.IFNA(VLOOKUP(Table2[[#This Row],[Tee time1]],'Classic day 1 - groups'!$A$3:$F$20,6,FALSE),"")</f>
        <v/>
      </c>
      <c r="G77" s="11" t="str">
        <f>_xlfn.IFNA(VLOOKUP(Table2[[#This Row],[Tee time1]],'Classic day 1 - groups'!$A$3:$F$20,4,FALSE),"")</f>
        <v/>
      </c>
      <c r="H77" s="12" t="str">
        <f>_xlfn.IFNA(VLOOKUP(Table2[[#This Row],[Tee time1]],'Classic day 1 - groups'!$A$3:$F$20,5,FALSE),"")</f>
        <v/>
      </c>
      <c r="I77" s="69" t="str">
        <f>IFERROR((MAX(starting_interval,IF(Table2[[#This Row],[gap1]]="NA",Table2[[#This Row],[avg gap]],Table2[[#This Row],[gap1]]))-starting_interval)*Table2[[#This Row],[followers1]]/Table2[[#This Row],[group size]],"")</f>
        <v/>
      </c>
      <c r="J77" s="32" t="str">
        <f>_xlfn.IFNA(VLOOKUP(Table2[[#This Row],[Name]],'Classic day 2 - players'!$A$2:$B$64,2,FALSE),"")</f>
        <v/>
      </c>
      <c r="K77" s="33" t="str">
        <f>IF(Table2[[#This Row],[tee time2]]&lt;&gt;"",COUNTIF('Classic day 2 - players'!$B$2:$B$64,"="&amp;Table2[[#This Row],[tee time2]]),"")</f>
        <v/>
      </c>
      <c r="L77" s="33" t="str">
        <f>_xlfn.IFNA(VLOOKUP(Table2[[#This Row],[tee time2]],'Classic day 2 - groups'!$A$3:$F$20,6,FALSE),"")</f>
        <v/>
      </c>
      <c r="M77" s="4" t="str">
        <f>_xlfn.IFNA(VLOOKUP(Table2[[#This Row],[tee time2]],'Classic day 2 - groups'!$A$3:$F$20,4,FALSE),"")</f>
        <v/>
      </c>
      <c r="N77" s="65" t="str">
        <f>_xlfn.IFNA(VLOOKUP(Table2[[#This Row],[tee time2]],'Classic day 2 - groups'!$A$3:$F$20,5,FALSE),"")</f>
        <v/>
      </c>
      <c r="O77" s="69" t="str">
        <f>IFERROR((MAX(starting_interval,IF(Table2[[#This Row],[gap2]]="NA",Table2[[#This Row],[avg gap]],Table2[[#This Row],[gap2]]))-starting_interval)*Table2[[#This Row],[followers2]]/Table2[[#This Row],[group size2]],"")</f>
        <v/>
      </c>
      <c r="P77" s="32">
        <f>_xlfn.IFNA(VLOOKUP(Table2[[#This Row],[Name]],'Summer FD - players'!$A$2:$B$65,2,FALSE),"")</f>
        <v>0.41944444444444445</v>
      </c>
      <c r="Q77" s="59">
        <f>IF(Table2[[#This Row],[tee time3]]&lt;&gt;"",COUNTIF('Summer FD - players'!$B$2:$B$65,"="&amp;Table2[[#This Row],[tee time3]]),"")</f>
        <v>4</v>
      </c>
      <c r="R77" s="59">
        <f>_xlfn.IFNA(VLOOKUP(Table2[[#This Row],[tee time3]],'Summer FD - groups'!$A$3:$F$20,6,FALSE),"")</f>
        <v>12</v>
      </c>
      <c r="S77" s="4">
        <f>_xlfn.IFNA(VLOOKUP(Table2[[#This Row],[tee time3]],'Summer FD - groups'!$A$3:$F$20,4,FALSE),"")</f>
        <v>0.19513888888888892</v>
      </c>
      <c r="T77" s="13">
        <f>_xlfn.IFNA(VLOOKUP(Table2[[#This Row],[tee time3]],'Summer FD - groups'!$A$3:$F$20,5,FALSE),"")</f>
        <v>5.5555555555555358E-3</v>
      </c>
      <c r="U77" s="69">
        <f>IF(Table2[[#This Row],[avg gap]]&lt;&gt;"",IFERROR((MAX(starting_interval,IF(Table2[[#This Row],[gap3]]="NA",Table2[[#This Row],[avg gap]],Table2[[#This Row],[gap3]]))-starting_interval)*Table2[[#This Row],[followers3]]/Table2[[#This Row],[group size3]],""),"")</f>
        <v>0</v>
      </c>
      <c r="V77" s="32">
        <f>_xlfn.IFNA(VLOOKUP(Table2[[#This Row],[Name]],'6-6-6 - players'!$A$2:$B$69,2,FALSE),"")</f>
        <v>0.3611111111111111</v>
      </c>
      <c r="W77" s="59">
        <f>IF(Table2[[#This Row],[tee time4]]&lt;&gt;"",COUNTIF('6-6-6 - players'!$B$2:$B$69,"="&amp;Table2[[#This Row],[tee time4]]),"")</f>
        <v>4</v>
      </c>
      <c r="X77" s="59">
        <f>_xlfn.IFNA(VLOOKUP(Table2[[#This Row],[tee time4]],'6-6-6 - groups'!$A$3:$F$20,6,FALSE),"")</f>
        <v>52</v>
      </c>
      <c r="Y77" s="4">
        <f>_xlfn.IFNA(VLOOKUP(Table2[[#This Row],[tee time4]],'6-6-6 - groups'!$A$3:$F$20,4,FALSE),"")</f>
        <v>0.17430555555555555</v>
      </c>
      <c r="Z77" s="13">
        <f>_xlfn.IFNA(VLOOKUP(Table2[[#This Row],[tee time4]],'6-6-6 - groups'!$A$3:$F$20,5,FALSE),"")</f>
        <v>8.3333333333333037E-3</v>
      </c>
      <c r="AA77" s="69">
        <f>IF(Table2[[#This Row],[avg gap]]&lt;&gt;"",IFERROR((MAX(starting_interval,IF(Table2[[#This Row],[gap4]]="NA",Table2[[#This Row],[avg gap]],Table2[[#This Row],[gap4]]))-starting_interval)*Table2[[#This Row],[followers4]]/Table2[[#This Row],[group size4]],""),"")</f>
        <v>1.8055555555555176E-2</v>
      </c>
      <c r="AB77" s="32">
        <f>_xlfn.IFNA(VLOOKUP(Table2[[#This Row],[Name]],'Fall FD - players'!$A$2:$B$65,2,FALSE),"")</f>
        <v>0.45555555555555555</v>
      </c>
      <c r="AC77" s="59">
        <f>IF(Table2[[#This Row],[tee time5]]&lt;&gt;"",COUNTIF('Fall FD - players'!$B$2:$B$65,"="&amp;Table2[[#This Row],[tee time5]]),"")</f>
        <v>4</v>
      </c>
      <c r="AD77" s="59">
        <f>_xlfn.IFNA(VLOOKUP(Table2[[#This Row],[tee time5]],'Fall FD - groups'!$A$3:$F$20,6,FALSE),"")</f>
        <v>0</v>
      </c>
      <c r="AE77" s="4">
        <f>_xlfn.IFNA(VLOOKUP(Table2[[#This Row],[tee time5]],'Fall FD - groups'!$A$3:$F$20,4,FALSE),"")</f>
        <v>0.17777777777777776</v>
      </c>
      <c r="AF77" s="13">
        <f>IFERROR(MIN(_xlfn.IFNA(VLOOKUP(Table2[[#This Row],[tee time5]],'Fall FD - groups'!$A$3:$F$20,5,FALSE),""),starting_interval + Table2[[#This Row],[round5]] - standard_round_time),"")</f>
        <v>8.3333333333333037E-3</v>
      </c>
      <c r="AG77" s="69">
        <f>IF(AND(Table2[[#This Row],[gap5]]="NA",Table2[[#This Row],[round5]]&lt;4/24),0,IFERROR((MAX(starting_interval,IF(Table2[[#This Row],[gap5]]="NA",Table2[[#This Row],[avg gap]],Table2[[#This Row],[gap5]]))-starting_interval)*Table2[[#This Row],[followers5]]/Table2[[#This Row],[group size5]],""))</f>
        <v>0</v>
      </c>
      <c r="AH77" s="32" t="str">
        <f>_xlfn.IFNA(VLOOKUP(Table2[[#This Row],[Name]],'Stableford - players'!$A$2:$B$65,2,FALSE),"")</f>
        <v/>
      </c>
      <c r="AI77" s="59" t="str">
        <f>IF(Table2[[#This Row],[tee time6]]&lt;&gt;"",COUNTIF('Stableford - players'!$B$2:$B$65,"="&amp;Table2[[#This Row],[tee time6]]),"")</f>
        <v/>
      </c>
      <c r="AJ77" s="59" t="str">
        <f>_xlfn.IFNA(VLOOKUP(Table2[[#This Row],[tee time6]],'Stableford - groups'!$A$3:$F$20,6,FALSE),"")</f>
        <v/>
      </c>
      <c r="AK77" s="11" t="str">
        <f>_xlfn.IFNA(VLOOKUP(Table2[[#This Row],[tee time6]],'Stableford - groups'!$A$3:$F$20,4,FALSE),"")</f>
        <v/>
      </c>
      <c r="AL77" s="13" t="str">
        <f>_xlfn.IFNA(VLOOKUP(Table2[[#This Row],[tee time6]],'Stableford - groups'!$A$3:$F$20,5,FALSE),"")</f>
        <v/>
      </c>
      <c r="AM77" s="68" t="str">
        <f>IF(AND(Table2[[#This Row],[gap6]]="NA",Table2[[#This Row],[round6]]&lt;4/24),0,IFERROR((MAX(starting_interval,IF(Table2[[#This Row],[gap6]]="NA",Table2[[#This Row],[avg gap]],Table2[[#This Row],[gap6]]))-starting_interval)*Table2[[#This Row],[followers6]]/Table2[[#This Row],[group size6]],""))</f>
        <v/>
      </c>
      <c r="AN77" s="32" t="str">
        <f>_xlfn.IFNA(VLOOKUP(Table2[[#This Row],[Name]],'Turkey Shoot - players'!$A$2:$B$65,2,FALSE),"")</f>
        <v/>
      </c>
      <c r="AO77" s="59" t="str">
        <f>IF(Table2[[#This Row],[tee time7]]&lt;&gt;"",COUNTIF('Turkey Shoot - players'!$B$2:$B$65,"="&amp;Table2[[#This Row],[tee time7]]),"")</f>
        <v/>
      </c>
      <c r="AP77" s="59" t="str">
        <f>_xlfn.IFNA(VLOOKUP(Table2[[#This Row],[tee time7]],'Stableford - groups'!$A$3:$F$20,6,FALSE),"")</f>
        <v/>
      </c>
      <c r="AQ77" s="11" t="str">
        <f>_xlfn.IFNA(VLOOKUP(Table2[[#This Row],[tee time7]],'Turkey Shoot - groups'!$A$3:$F$20,4,FALSE),"")</f>
        <v/>
      </c>
      <c r="AR77" s="13" t="str">
        <f>_xlfn.IFNA(VLOOKUP(Table2[[#This Row],[tee time7]],'Turkey Shoot - groups'!$A$3:$F$20,5,FALSE),"")</f>
        <v/>
      </c>
      <c r="AS77" s="68" t="str">
        <f>IF(AND(Table2[[#This Row],[gap7]]="NA",Table2[[#This Row],[round7]]&lt;4/24),0,IFERROR((MAX(starting_interval,IF(Table2[[#This Row],[gap7]]="NA",Table2[[#This Row],[avg gap]],Table2[[#This Row],[gap7]]))-starting_interval)*Table2[[#This Row],[followers7]]/Table2[[#This Row],[group size7]],""))</f>
        <v/>
      </c>
      <c r="AT77" s="72">
        <f>COUNT(Table2[[#This Row],[Tee time1]],Table2[[#This Row],[tee time2]],Table2[[#This Row],[tee time3]],Table2[[#This Row],[tee time4]],Table2[[#This Row],[tee time5]],Table2[[#This Row],[tee time6]],Table2[[#This Row],[tee time7]])</f>
        <v>3</v>
      </c>
      <c r="AU77" s="4">
        <f>IFERROR(AVERAGE(Table2[[#This Row],[Tee time1]],Table2[[#This Row],[tee time2]],Table2[[#This Row],[tee time3]],Table2[[#This Row],[tee time4]],Table2[[#This Row],[tee time5]],Table2[[#This Row],[tee time6]],Table2[[#This Row],[tee time7]]),"")</f>
        <v>0.41203703703703703</v>
      </c>
      <c r="AV77" s="11">
        <f>IFERROR(MEDIAN(Table2[[#This Row],[round1]],Table2[[#This Row],[Round2]],Table2[[#This Row],[round3]],Table2[[#This Row],[round4]],Table2[[#This Row],[round5]],Table2[[#This Row],[round6]],Table2[[#This Row],[round7]]),"")</f>
        <v>0.17777777777777776</v>
      </c>
      <c r="AW77" s="11">
        <f>IFERROR(AVERAGE(Table2[[#This Row],[gap1]],Table2[[#This Row],[gap2]],Table2[[#This Row],[gap3]],Table2[[#This Row],[gap4]],Table2[[#This Row],[gap5]],Table2[[#This Row],[gap6]],Table2[[#This Row],[gap7]]),"")</f>
        <v>7.4074074074073808E-3</v>
      </c>
      <c r="AX77" s="9">
        <f>IFERROR((Table2[[#This Row],[avg gap]]-starting_interval)*24*60*Table2[[#This Row],[Count]],"NA")</f>
        <v>1.9999999999998868</v>
      </c>
      <c r="AY7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1.8055555555555176E-2</v>
      </c>
      <c r="AZ77" s="2"/>
    </row>
    <row r="78" spans="1:52" x14ac:dyDescent="0.3">
      <c r="A78" s="10" t="s">
        <v>197</v>
      </c>
      <c r="B78" s="1" t="s">
        <v>437</v>
      </c>
      <c r="C78" s="19">
        <v>7.8</v>
      </c>
      <c r="D78" s="32">
        <f>_xlfn.IFNA(VLOOKUP(Table2[[#This Row],[Name]],'Classic day 1 - players'!$A$2:$B$64,2,FALSE),"")</f>
        <v>0.3833333333333333</v>
      </c>
      <c r="E78" s="33">
        <f>IF(Table2[[#This Row],[Tee time1]]&lt;&gt;"",COUNTIF('Classic day 1 - players'!$B$2:$B$64,"="&amp;Table2[[#This Row],[Tee time1]]),"")</f>
        <v>3</v>
      </c>
      <c r="F78" s="33">
        <f>_xlfn.IFNA(VLOOKUP(Table2[[#This Row],[Tee time1]],'Classic day 1 - groups'!$A$3:$F$20,6,FALSE),"")</f>
        <v>36</v>
      </c>
      <c r="G78" s="11">
        <f>_xlfn.IFNA(VLOOKUP(Table2[[#This Row],[Tee time1]],'Classic day 1 - groups'!$A$3:$F$20,4,FALSE),"")</f>
        <v>0.19861111111111113</v>
      </c>
      <c r="H78" s="12">
        <f>_xlfn.IFNA(VLOOKUP(Table2[[#This Row],[Tee time1]],'Classic day 1 - groups'!$A$3:$F$20,5,FALSE),"")</f>
        <v>8.3333333333333037E-3</v>
      </c>
      <c r="I78" s="69">
        <f>IFERROR((MAX(starting_interval,IF(Table2[[#This Row],[gap1]]="NA",Table2[[#This Row],[avg gap]],Table2[[#This Row],[gap1]]))-starting_interval)*Table2[[#This Row],[followers1]]/Table2[[#This Row],[group size]],"")</f>
        <v>1.6666666666666316E-2</v>
      </c>
      <c r="J78" s="32">
        <f>_xlfn.IFNA(VLOOKUP(Table2[[#This Row],[Name]],'Classic day 2 - players'!$A$2:$B$64,2,FALSE),"")</f>
        <v>0.39583333333333331</v>
      </c>
      <c r="K78" s="33">
        <f>IF(Table2[[#This Row],[tee time2]]&lt;&gt;"",COUNTIF('Classic day 2 - players'!$B$2:$B$64,"="&amp;Table2[[#This Row],[tee time2]]),"")</f>
        <v>4</v>
      </c>
      <c r="L78" s="33">
        <f>_xlfn.IFNA(VLOOKUP(Table2[[#This Row],[tee time2]],'Classic day 2 - groups'!$A$3:$F$20,6,FALSE),"")</f>
        <v>12</v>
      </c>
      <c r="M78" s="4">
        <f>_xlfn.IFNA(VLOOKUP(Table2[[#This Row],[tee time2]],'Classic day 2 - groups'!$A$3:$F$20,4,FALSE),"")</f>
        <v>0.18472222222222223</v>
      </c>
      <c r="N78" s="65">
        <f>_xlfn.IFNA(VLOOKUP(Table2[[#This Row],[tee time2]],'Classic day 2 - groups'!$A$3:$F$20,5,FALSE),"")</f>
        <v>4.8611111111111112E-3</v>
      </c>
      <c r="O78" s="69">
        <f>IFERROR((MAX(starting_interval,IF(Table2[[#This Row],[gap2]]="NA",Table2[[#This Row],[avg gap]],Table2[[#This Row],[gap2]]))-starting_interval)*Table2[[#This Row],[followers2]]/Table2[[#This Row],[group size2]],"")</f>
        <v>0</v>
      </c>
      <c r="P78" s="32" t="str">
        <f>_xlfn.IFNA(VLOOKUP(Table2[[#This Row],[Name]],'Summer FD - players'!$A$2:$B$65,2,FALSE),"")</f>
        <v/>
      </c>
      <c r="Q78" s="59" t="str">
        <f>IF(Table2[[#This Row],[tee time3]]&lt;&gt;"",COUNTIF('Summer FD - players'!$B$2:$B$65,"="&amp;Table2[[#This Row],[tee time3]]),"")</f>
        <v/>
      </c>
      <c r="R78" s="59" t="str">
        <f>_xlfn.IFNA(VLOOKUP(Table2[[#This Row],[tee time3]],'Summer FD - groups'!$A$3:$F$20,6,FALSE),"")</f>
        <v/>
      </c>
      <c r="S78" s="4" t="str">
        <f>_xlfn.IFNA(VLOOKUP(Table2[[#This Row],[tee time3]],'Summer FD - groups'!$A$3:$F$20,4,FALSE),"")</f>
        <v/>
      </c>
      <c r="T78" s="13" t="str">
        <f>_xlfn.IFNA(VLOOKUP(Table2[[#This Row],[tee time3]],'Summer FD - groups'!$A$3:$F$20,5,FALSE),"")</f>
        <v/>
      </c>
      <c r="U78" s="69" t="str">
        <f>IF(Table2[[#This Row],[avg gap]]&lt;&gt;"",IFERROR((MAX(starting_interval,IF(Table2[[#This Row],[gap3]]="NA",Table2[[#This Row],[avg gap]],Table2[[#This Row],[gap3]]))-starting_interval)*Table2[[#This Row],[followers3]]/Table2[[#This Row],[group size3]],""),"")</f>
        <v/>
      </c>
      <c r="V78" s="32" t="str">
        <f>_xlfn.IFNA(VLOOKUP(Table2[[#This Row],[Name]],'6-6-6 - players'!$A$2:$B$69,2,FALSE),"")</f>
        <v/>
      </c>
      <c r="W78" s="59" t="str">
        <f>IF(Table2[[#This Row],[tee time4]]&lt;&gt;"",COUNTIF('6-6-6 - players'!$B$2:$B$69,"="&amp;Table2[[#This Row],[tee time4]]),"")</f>
        <v/>
      </c>
      <c r="X78" s="59" t="str">
        <f>_xlfn.IFNA(VLOOKUP(Table2[[#This Row],[tee time4]],'6-6-6 - groups'!$A$3:$F$20,6,FALSE),"")</f>
        <v/>
      </c>
      <c r="Y78" s="4" t="str">
        <f>_xlfn.IFNA(VLOOKUP(Table2[[#This Row],[tee time4]],'6-6-6 - groups'!$A$3:$F$20,4,FALSE),"")</f>
        <v/>
      </c>
      <c r="Z78" s="13" t="str">
        <f>_xlfn.IFNA(VLOOKUP(Table2[[#This Row],[tee time4]],'6-6-6 - groups'!$A$3:$F$20,5,FALSE),"")</f>
        <v/>
      </c>
      <c r="AA78" s="69" t="str">
        <f>IF(Table2[[#This Row],[avg gap]]&lt;&gt;"",IFERROR((MAX(starting_interval,IF(Table2[[#This Row],[gap4]]="NA",Table2[[#This Row],[avg gap]],Table2[[#This Row],[gap4]]))-starting_interval)*Table2[[#This Row],[followers4]]/Table2[[#This Row],[group size4]],""),"")</f>
        <v/>
      </c>
      <c r="AB78" s="32" t="str">
        <f>_xlfn.IFNA(VLOOKUP(Table2[[#This Row],[Name]],'Fall FD - players'!$A$2:$B$65,2,FALSE),"")</f>
        <v/>
      </c>
      <c r="AC78" s="59" t="str">
        <f>IF(Table2[[#This Row],[tee time5]]&lt;&gt;"",COUNTIF('Fall FD - players'!$B$2:$B$65,"="&amp;Table2[[#This Row],[tee time5]]),"")</f>
        <v/>
      </c>
      <c r="AD78" s="59" t="str">
        <f>_xlfn.IFNA(VLOOKUP(Table2[[#This Row],[tee time5]],'Fall FD - groups'!$A$3:$F$20,6,FALSE),"")</f>
        <v/>
      </c>
      <c r="AE78" s="4" t="str">
        <f>_xlfn.IFNA(VLOOKUP(Table2[[#This Row],[tee time5]],'Fall FD - groups'!$A$3:$F$20,4,FALSE),"")</f>
        <v/>
      </c>
      <c r="AF78" s="13" t="str">
        <f>IFERROR(MIN(_xlfn.IFNA(VLOOKUP(Table2[[#This Row],[tee time5]],'Fall FD - groups'!$A$3:$F$20,5,FALSE),""),starting_interval + Table2[[#This Row],[round5]] - standard_round_time),"")</f>
        <v/>
      </c>
      <c r="AG78" s="69" t="str">
        <f>IF(AND(Table2[[#This Row],[gap5]]="NA",Table2[[#This Row],[round5]]&lt;4/24),0,IFERROR((MAX(starting_interval,IF(Table2[[#This Row],[gap5]]="NA",Table2[[#This Row],[avg gap]],Table2[[#This Row],[gap5]]))-starting_interval)*Table2[[#This Row],[followers5]]/Table2[[#This Row],[group size5]],""))</f>
        <v/>
      </c>
      <c r="AH78" s="32">
        <f>_xlfn.IFNA(VLOOKUP(Table2[[#This Row],[Name]],'Stableford - players'!$A$2:$B$65,2,FALSE),"")</f>
        <v>0.3888888888888889</v>
      </c>
      <c r="AI78" s="59">
        <f>IF(Table2[[#This Row],[tee time6]]&lt;&gt;"",COUNTIF('Stableford - players'!$B$2:$B$65,"="&amp;Table2[[#This Row],[tee time6]]),"")</f>
        <v>4</v>
      </c>
      <c r="AJ78" s="59">
        <f>_xlfn.IFNA(VLOOKUP(Table2[[#This Row],[tee time6]],'Stableford - groups'!$A$3:$F$20,6,FALSE),"")</f>
        <v>28</v>
      </c>
      <c r="AK78" s="11">
        <f>_xlfn.IFNA(VLOOKUP(Table2[[#This Row],[tee time6]],'Stableford - groups'!$A$3:$F$20,4,FALSE),"")</f>
        <v>0.17222222222222222</v>
      </c>
      <c r="AL78" s="13">
        <f>_xlfn.IFNA(VLOOKUP(Table2[[#This Row],[tee time6]],'Stableford - groups'!$A$3:$F$20,5,FALSE),"")</f>
        <v>6.2499999999999778E-3</v>
      </c>
      <c r="AM78" s="68">
        <f>IF(AND(Table2[[#This Row],[gap6]]="NA",Table2[[#This Row],[round6]]&lt;4/24),0,IFERROR((MAX(starting_interval,IF(Table2[[#This Row],[gap6]]="NA",Table2[[#This Row],[avg gap]],Table2[[#This Row],[gap6]]))-starting_interval)*Table2[[#This Row],[followers6]]/Table2[[#This Row],[group size6]],""))</f>
        <v>0</v>
      </c>
      <c r="AN78" s="32">
        <f>_xlfn.IFNA(VLOOKUP(Table2[[#This Row],[Name]],'Turkey Shoot - players'!$A$2:$B$65,2,FALSE),"")</f>
        <v>0.3611111111111111</v>
      </c>
      <c r="AO78" s="59">
        <f>IF(Table2[[#This Row],[tee time7]]&lt;&gt;"",COUNTIF('Turkey Shoot - players'!$B$2:$B$65,"="&amp;Table2[[#This Row],[tee time7]]),"")</f>
        <v>4</v>
      </c>
      <c r="AP78" s="59">
        <f>_xlfn.IFNA(VLOOKUP(Table2[[#This Row],[tee time7]],'Stableford - groups'!$A$3:$F$20,6,FALSE),"")</f>
        <v>44</v>
      </c>
      <c r="AQ78" s="11">
        <f>_xlfn.IFNA(VLOOKUP(Table2[[#This Row],[tee time7]],'Turkey Shoot - groups'!$A$3:$F$20,4,FALSE),"")</f>
        <v>0.1701388888888889</v>
      </c>
      <c r="AR78" s="13" t="str">
        <f>_xlfn.IFNA(VLOOKUP(Table2[[#This Row],[tee time7]],'Turkey Shoot - groups'!$A$3:$F$20,5,FALSE),"")</f>
        <v>NA</v>
      </c>
      <c r="AS78" s="68">
        <f>IF(AND(Table2[[#This Row],[gap7]]="NA",Table2[[#This Row],[round7]]&lt;4/24),0,IFERROR((MAX(starting_interval,IF(Table2[[#This Row],[gap7]]="NA",Table2[[#This Row],[avg gap]],Table2[[#This Row],[gap7]]))-starting_interval)*Table2[[#This Row],[followers7]]/Table2[[#This Row],[group size7]],""))</f>
        <v>0</v>
      </c>
      <c r="AT78" s="72">
        <f>COUNT(Table2[[#This Row],[Tee time1]],Table2[[#This Row],[tee time2]],Table2[[#This Row],[tee time3]],Table2[[#This Row],[tee time4]],Table2[[#This Row],[tee time5]],Table2[[#This Row],[tee time6]],Table2[[#This Row],[tee time7]])</f>
        <v>4</v>
      </c>
      <c r="AU78" s="4">
        <f>IFERROR(AVERAGE(Table2[[#This Row],[Tee time1]],Table2[[#This Row],[tee time2]],Table2[[#This Row],[tee time3]],Table2[[#This Row],[tee time4]],Table2[[#This Row],[tee time5]],Table2[[#This Row],[tee time6]],Table2[[#This Row],[tee time7]]),"")</f>
        <v>0.38229166666666664</v>
      </c>
      <c r="AV78" s="11">
        <f>IFERROR(MEDIAN(Table2[[#This Row],[round1]],Table2[[#This Row],[Round2]],Table2[[#This Row],[round3]],Table2[[#This Row],[round4]],Table2[[#This Row],[round5]],Table2[[#This Row],[round6]],Table2[[#This Row],[round7]]),"")</f>
        <v>0.17847222222222223</v>
      </c>
      <c r="AW78" s="11">
        <f>IFERROR(AVERAGE(Table2[[#This Row],[gap1]],Table2[[#This Row],[gap2]],Table2[[#This Row],[gap3]],Table2[[#This Row],[gap4]],Table2[[#This Row],[gap5]],Table2[[#This Row],[gap6]],Table2[[#This Row],[gap7]]),"")</f>
        <v>6.4814814814814639E-3</v>
      </c>
      <c r="AX78" s="9">
        <f>IFERROR((Table2[[#This Row],[avg gap]]-starting_interval)*24*60*Table2[[#This Row],[Count]],"NA")</f>
        <v>-2.6666666666667656</v>
      </c>
      <c r="AY7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1.6666666666666316E-2</v>
      </c>
      <c r="AZ78" s="2"/>
    </row>
    <row r="79" spans="1:52" x14ac:dyDescent="0.3">
      <c r="A79" s="10" t="s">
        <v>96</v>
      </c>
      <c r="B79" s="1" t="s">
        <v>335</v>
      </c>
      <c r="C79" s="19">
        <v>8</v>
      </c>
      <c r="D79" s="32">
        <f>_xlfn.IFNA(VLOOKUP(Table2[[#This Row],[Name]],'Classic day 1 - players'!$A$2:$B$64,2,FALSE),"")</f>
        <v>0.42708333333333331</v>
      </c>
      <c r="E79" s="33">
        <f>IF(Table2[[#This Row],[Tee time1]]&lt;&gt;"",COUNTIF('Classic day 1 - players'!$B$2:$B$64,"="&amp;Table2[[#This Row],[Tee time1]]),"")</f>
        <v>4</v>
      </c>
      <c r="F79" s="33">
        <f>_xlfn.IFNA(VLOOKUP(Table2[[#This Row],[Tee time1]],'Classic day 1 - groups'!$A$3:$F$20,6,FALSE),"")</f>
        <v>8</v>
      </c>
      <c r="G79" s="11">
        <f>_xlfn.IFNA(VLOOKUP(Table2[[#This Row],[Tee time1]],'Classic day 1 - groups'!$A$3:$F$20,4,FALSE),"")</f>
        <v>0.1958333333333333</v>
      </c>
      <c r="H79" s="12">
        <f>_xlfn.IFNA(VLOOKUP(Table2[[#This Row],[Tee time1]],'Classic day 1 - groups'!$A$3:$F$20,5,FALSE),"")</f>
        <v>3.4722222222222099E-3</v>
      </c>
      <c r="I79" s="69">
        <f>IFERROR((MAX(starting_interval,IF(Table2[[#This Row],[gap1]]="NA",Table2[[#This Row],[avg gap]],Table2[[#This Row],[gap1]]))-starting_interval)*Table2[[#This Row],[followers1]]/Table2[[#This Row],[group size]],"")</f>
        <v>0</v>
      </c>
      <c r="J79" s="32" t="str">
        <f>_xlfn.IFNA(VLOOKUP(Table2[[#This Row],[Name]],'Classic day 2 - players'!$A$2:$B$64,2,FALSE),"")</f>
        <v/>
      </c>
      <c r="K79" s="34" t="str">
        <f>IF(Table2[[#This Row],[tee time2]]&lt;&gt;"",COUNTIF('Classic day 2 - players'!$B$2:$B$64,"="&amp;Table2[[#This Row],[tee time2]]),"")</f>
        <v/>
      </c>
      <c r="L79" s="34" t="str">
        <f>_xlfn.IFNA(VLOOKUP(Table2[[#This Row],[tee time2]],'Classic day 2 - groups'!$A$3:$F$20,6,FALSE),"")</f>
        <v/>
      </c>
      <c r="M79" s="4" t="str">
        <f>_xlfn.IFNA(VLOOKUP(Table2[[#This Row],[tee time2]],'Classic day 2 - groups'!$A$3:$F$20,4,FALSE),"")</f>
        <v/>
      </c>
      <c r="N79" s="65" t="str">
        <f>_xlfn.IFNA(VLOOKUP(Table2[[#This Row],[tee time2]],'Classic day 2 - groups'!$A$3:$F$20,5,FALSE),"")</f>
        <v/>
      </c>
      <c r="O79" s="69" t="str">
        <f>IFERROR((MAX(starting_interval,IF(Table2[[#This Row],[gap2]]="NA",Table2[[#This Row],[avg gap]],Table2[[#This Row],[gap2]]))-starting_interval)*Table2[[#This Row],[followers2]]/Table2[[#This Row],[group size2]],"")</f>
        <v/>
      </c>
      <c r="P79" s="32" t="str">
        <f>_xlfn.IFNA(VLOOKUP(Table2[[#This Row],[Name]],'Summer FD - players'!$A$2:$B$65,2,FALSE),"")</f>
        <v/>
      </c>
      <c r="Q79" s="59" t="str">
        <f>IF(Table2[[#This Row],[tee time3]]&lt;&gt;"",COUNTIF('Summer FD - players'!$B$2:$B$65,"="&amp;Table2[[#This Row],[tee time3]]),"")</f>
        <v/>
      </c>
      <c r="R79" s="59" t="str">
        <f>_xlfn.IFNA(VLOOKUP(Table2[[#This Row],[tee time3]],'Summer FD - groups'!$A$3:$F$20,6,FALSE),"")</f>
        <v/>
      </c>
      <c r="S79" s="4" t="str">
        <f>_xlfn.IFNA(VLOOKUP(Table2[[#This Row],[tee time3]],'Summer FD - groups'!$A$3:$F$20,4,FALSE),"")</f>
        <v/>
      </c>
      <c r="T79" s="13" t="str">
        <f>_xlfn.IFNA(VLOOKUP(Table2[[#This Row],[tee time3]],'Summer FD - groups'!$A$3:$F$20,5,FALSE),"")</f>
        <v/>
      </c>
      <c r="U79" s="69" t="str">
        <f>IF(Table2[[#This Row],[avg gap]]&lt;&gt;"",IFERROR((MAX(starting_interval,IF(Table2[[#This Row],[gap3]]="NA",Table2[[#This Row],[avg gap]],Table2[[#This Row],[gap3]]))-starting_interval)*Table2[[#This Row],[followers3]]/Table2[[#This Row],[group size3]],""),"")</f>
        <v/>
      </c>
      <c r="V79" s="32">
        <f>_xlfn.IFNA(VLOOKUP(Table2[[#This Row],[Name]],'6-6-6 - players'!$A$2:$B$69,2,FALSE),"")</f>
        <v>0.43055555555555558</v>
      </c>
      <c r="W79" s="59">
        <f>IF(Table2[[#This Row],[tee time4]]&lt;&gt;"",COUNTIF('6-6-6 - players'!$B$2:$B$69,"="&amp;Table2[[#This Row],[tee time4]]),"")</f>
        <v>4</v>
      </c>
      <c r="X79" s="59">
        <f>_xlfn.IFNA(VLOOKUP(Table2[[#This Row],[tee time4]],'6-6-6 - groups'!$A$3:$F$20,6,FALSE),"")</f>
        <v>12</v>
      </c>
      <c r="Y79" s="4">
        <f>_xlfn.IFNA(VLOOKUP(Table2[[#This Row],[tee time4]],'6-6-6 - groups'!$A$3:$F$20,4,FALSE),"")</f>
        <v>0.1777777777777777</v>
      </c>
      <c r="Z79" s="13">
        <f>_xlfn.IFNA(VLOOKUP(Table2[[#This Row],[tee time4]],'6-6-6 - groups'!$A$3:$F$20,5,FALSE),"")</f>
        <v>1.041666666666663E-2</v>
      </c>
      <c r="AA79" s="69">
        <f>IF(Table2[[#This Row],[avg gap]]&lt;&gt;"",IFERROR((MAX(starting_interval,IF(Table2[[#This Row],[gap4]]="NA",Table2[[#This Row],[avg gap]],Table2[[#This Row],[gap4]]))-starting_interval)*Table2[[#This Row],[followers4]]/Table2[[#This Row],[group size4]],""),"")</f>
        <v>1.0416666666666557E-2</v>
      </c>
      <c r="AB79" s="32" t="str">
        <f>_xlfn.IFNA(VLOOKUP(Table2[[#This Row],[Name]],'Fall FD - players'!$A$2:$B$65,2,FALSE),"")</f>
        <v/>
      </c>
      <c r="AC79" s="59" t="str">
        <f>IF(Table2[[#This Row],[tee time5]]&lt;&gt;"",COUNTIF('Fall FD - players'!$B$2:$B$65,"="&amp;Table2[[#This Row],[tee time5]]),"")</f>
        <v/>
      </c>
      <c r="AD79" s="59" t="str">
        <f>_xlfn.IFNA(VLOOKUP(Table2[[#This Row],[tee time5]],'Fall FD - groups'!$A$3:$F$20,6,FALSE),"")</f>
        <v/>
      </c>
      <c r="AE79" s="4" t="str">
        <f>_xlfn.IFNA(VLOOKUP(Table2[[#This Row],[tee time5]],'Fall FD - groups'!$A$3:$F$20,4,FALSE),"")</f>
        <v/>
      </c>
      <c r="AF79" s="13" t="str">
        <f>IFERROR(MIN(_xlfn.IFNA(VLOOKUP(Table2[[#This Row],[tee time5]],'Fall FD - groups'!$A$3:$F$20,5,FALSE),""),starting_interval + Table2[[#This Row],[round5]] - standard_round_time),"")</f>
        <v/>
      </c>
      <c r="AG79" s="69" t="str">
        <f>IF(AND(Table2[[#This Row],[gap5]]="NA",Table2[[#This Row],[round5]]&lt;4/24),0,IFERROR((MAX(starting_interval,IF(Table2[[#This Row],[gap5]]="NA",Table2[[#This Row],[avg gap]],Table2[[#This Row],[gap5]]))-starting_interval)*Table2[[#This Row],[followers5]]/Table2[[#This Row],[group size5]],""))</f>
        <v/>
      </c>
      <c r="AH79" s="32">
        <f>_xlfn.IFNA(VLOOKUP(Table2[[#This Row],[Name]],'Stableford - players'!$A$2:$B$65,2,FALSE),"")</f>
        <v>0.40972222222222227</v>
      </c>
      <c r="AI79" s="59">
        <f>IF(Table2[[#This Row],[tee time6]]&lt;&gt;"",COUNTIF('Stableford - players'!$B$2:$B$65,"="&amp;Table2[[#This Row],[tee time6]]),"")</f>
        <v>4</v>
      </c>
      <c r="AJ79" s="59">
        <f>_xlfn.IFNA(VLOOKUP(Table2[[#This Row],[tee time6]],'Stableford - groups'!$A$3:$F$20,6,FALSE),"")</f>
        <v>16</v>
      </c>
      <c r="AK79" s="11">
        <f>_xlfn.IFNA(VLOOKUP(Table2[[#This Row],[tee time6]],'Stableford - groups'!$A$3:$F$20,4,FALSE),"")</f>
        <v>0.17291666666666655</v>
      </c>
      <c r="AL79" s="13">
        <f>_xlfn.IFNA(VLOOKUP(Table2[[#This Row],[tee time6]],'Stableford - groups'!$A$3:$F$20,5,FALSE),"")</f>
        <v>8.3333333333333037E-3</v>
      </c>
      <c r="AM79" s="68">
        <f>IF(AND(Table2[[#This Row],[gap6]]="NA",Table2[[#This Row],[round6]]&lt;4/24),0,IFERROR((MAX(starting_interval,IF(Table2[[#This Row],[gap6]]="NA",Table2[[#This Row],[avg gap]],Table2[[#This Row],[gap6]]))-starting_interval)*Table2[[#This Row],[followers6]]/Table2[[#This Row],[group size6]],""))</f>
        <v>5.5555555555554387E-3</v>
      </c>
      <c r="AN79" s="32" t="str">
        <f>_xlfn.IFNA(VLOOKUP(Table2[[#This Row],[Name]],'Turkey Shoot - players'!$A$2:$B$65,2,FALSE),"")</f>
        <v/>
      </c>
      <c r="AO79" s="59" t="str">
        <f>IF(Table2[[#This Row],[tee time7]]&lt;&gt;"",COUNTIF('Turkey Shoot - players'!$B$2:$B$65,"="&amp;Table2[[#This Row],[tee time7]]),"")</f>
        <v/>
      </c>
      <c r="AP79" s="59" t="str">
        <f>_xlfn.IFNA(VLOOKUP(Table2[[#This Row],[tee time7]],'Stableford - groups'!$A$3:$F$20,6,FALSE),"")</f>
        <v/>
      </c>
      <c r="AQ79" s="11" t="str">
        <f>_xlfn.IFNA(VLOOKUP(Table2[[#This Row],[tee time7]],'Turkey Shoot - groups'!$A$3:$F$20,4,FALSE),"")</f>
        <v/>
      </c>
      <c r="AR79" s="13" t="str">
        <f>_xlfn.IFNA(VLOOKUP(Table2[[#This Row],[tee time7]],'Turkey Shoot - groups'!$A$3:$F$20,5,FALSE),"")</f>
        <v/>
      </c>
      <c r="AS79" s="68" t="str">
        <f>IF(AND(Table2[[#This Row],[gap7]]="NA",Table2[[#This Row],[round7]]&lt;4/24),0,IFERROR((MAX(starting_interval,IF(Table2[[#This Row],[gap7]]="NA",Table2[[#This Row],[avg gap]],Table2[[#This Row],[gap7]]))-starting_interval)*Table2[[#This Row],[followers7]]/Table2[[#This Row],[group size7]],""))</f>
        <v/>
      </c>
      <c r="AT79" s="72">
        <f>COUNT(Table2[[#This Row],[Tee time1]],Table2[[#This Row],[tee time2]],Table2[[#This Row],[tee time3]],Table2[[#This Row],[tee time4]],Table2[[#This Row],[tee time5]],Table2[[#This Row],[tee time6]],Table2[[#This Row],[tee time7]])</f>
        <v>3</v>
      </c>
      <c r="AU79" s="4">
        <f>IFERROR(AVERAGE(Table2[[#This Row],[Tee time1]],Table2[[#This Row],[tee time2]],Table2[[#This Row],[tee time3]],Table2[[#This Row],[tee time4]],Table2[[#This Row],[tee time5]],Table2[[#This Row],[tee time6]],Table2[[#This Row],[tee time7]]),"")</f>
        <v>0.42245370370370372</v>
      </c>
      <c r="AV79" s="11">
        <f>IFERROR(MEDIAN(Table2[[#This Row],[round1]],Table2[[#This Row],[Round2]],Table2[[#This Row],[round3]],Table2[[#This Row],[round4]],Table2[[#This Row],[round5]],Table2[[#This Row],[round6]],Table2[[#This Row],[round7]]),"")</f>
        <v>0.1777777777777777</v>
      </c>
      <c r="AW79" s="11">
        <f>IFERROR(AVERAGE(Table2[[#This Row],[gap1]],Table2[[#This Row],[gap2]],Table2[[#This Row],[gap3]],Table2[[#This Row],[gap4]],Table2[[#This Row],[gap5]],Table2[[#This Row],[gap6]],Table2[[#This Row],[gap7]]),"")</f>
        <v>7.4074074074073808E-3</v>
      </c>
      <c r="AX79" s="9">
        <f>IFERROR((Table2[[#This Row],[avg gap]]-starting_interval)*24*60*Table2[[#This Row],[Count]],"NA")</f>
        <v>1.9999999999998868</v>
      </c>
      <c r="AY7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1.5972222222221995E-2</v>
      </c>
      <c r="AZ79" s="2"/>
    </row>
    <row r="80" spans="1:52" x14ac:dyDescent="0.3">
      <c r="A80" s="10" t="s">
        <v>186</v>
      </c>
      <c r="B80" s="1" t="s">
        <v>425</v>
      </c>
      <c r="C80" s="19">
        <v>10.9</v>
      </c>
      <c r="D80" s="32">
        <f>_xlfn.IFNA(VLOOKUP(Table2[[#This Row],[Name]],'Classic day 1 - players'!$A$2:$B$64,2,FALSE),"")</f>
        <v>0.42083333333333334</v>
      </c>
      <c r="E80" s="33">
        <f>IF(Table2[[#This Row],[Tee time1]]&lt;&gt;"",COUNTIF('Classic day 1 - players'!$B$2:$B$64,"="&amp;Table2[[#This Row],[Tee time1]]),"")</f>
        <v>4</v>
      </c>
      <c r="F80" s="33">
        <f>_xlfn.IFNA(VLOOKUP(Table2[[#This Row],[Tee time1]],'Classic day 1 - groups'!$A$3:$F$20,6,FALSE),"")</f>
        <v>12</v>
      </c>
      <c r="G80" s="11">
        <f>_xlfn.IFNA(VLOOKUP(Table2[[#This Row],[Tee time1]],'Classic day 1 - groups'!$A$3:$F$20,4,FALSE),"")</f>
        <v>0.2</v>
      </c>
      <c r="H80" s="12">
        <f>_xlfn.IFNA(VLOOKUP(Table2[[#This Row],[Tee time1]],'Classic day 1 - groups'!$A$3:$F$20,5,FALSE),"")</f>
        <v>6.2499999999999778E-3</v>
      </c>
      <c r="I80" s="69">
        <f>IFERROR((MAX(starting_interval,IF(Table2[[#This Row],[gap1]]="NA",Table2[[#This Row],[avg gap]],Table2[[#This Row],[gap1]]))-starting_interval)*Table2[[#This Row],[followers1]]/Table2[[#This Row],[group size]],"")</f>
        <v>0</v>
      </c>
      <c r="J80" s="32">
        <f>_xlfn.IFNA(VLOOKUP(Table2[[#This Row],[Name]],'Classic day 2 - players'!$A$2:$B$64,2,FALSE),"")</f>
        <v>0.3833333333333333</v>
      </c>
      <c r="K80" s="34">
        <f>IF(Table2[[#This Row],[tee time2]]&lt;&gt;"",COUNTIF('Classic day 2 - players'!$B$2:$B$64,"="&amp;Table2[[#This Row],[tee time2]]),"")</f>
        <v>4</v>
      </c>
      <c r="L80" s="34">
        <f>_xlfn.IFNA(VLOOKUP(Table2[[#This Row],[tee time2]],'Classic day 2 - groups'!$A$3:$F$20,6,FALSE),"")</f>
        <v>20</v>
      </c>
      <c r="M80" s="4">
        <f>_xlfn.IFNA(VLOOKUP(Table2[[#This Row],[tee time2]],'Classic day 2 - groups'!$A$3:$F$20,4,FALSE),"")</f>
        <v>0.18888888888888888</v>
      </c>
      <c r="N80" s="65">
        <f>_xlfn.IFNA(VLOOKUP(Table2[[#This Row],[tee time2]],'Classic day 2 - groups'!$A$3:$F$20,5,FALSE),"")</f>
        <v>6.2499999999999995E-3</v>
      </c>
      <c r="O80" s="69">
        <f>IFERROR((MAX(starting_interval,IF(Table2[[#This Row],[gap2]]="NA",Table2[[#This Row],[avg gap]],Table2[[#This Row],[gap2]]))-starting_interval)*Table2[[#This Row],[followers2]]/Table2[[#This Row],[group size2]],"")</f>
        <v>0</v>
      </c>
      <c r="P80" s="32" t="str">
        <f>_xlfn.IFNA(VLOOKUP(Table2[[#This Row],[Name]],'Summer FD - players'!$A$2:$B$65,2,FALSE),"")</f>
        <v/>
      </c>
      <c r="Q80" s="59" t="str">
        <f>IF(Table2[[#This Row],[tee time3]]&lt;&gt;"",COUNTIF('Summer FD - players'!$B$2:$B$65,"="&amp;Table2[[#This Row],[tee time3]]),"")</f>
        <v/>
      </c>
      <c r="R80" s="59" t="str">
        <f>_xlfn.IFNA(VLOOKUP(Table2[[#This Row],[tee time3]],'Summer FD - groups'!$A$3:$F$20,6,FALSE),"")</f>
        <v/>
      </c>
      <c r="S80" s="4" t="str">
        <f>_xlfn.IFNA(VLOOKUP(Table2[[#This Row],[tee time3]],'Summer FD - groups'!$A$3:$F$20,4,FALSE),"")</f>
        <v/>
      </c>
      <c r="T80" s="13" t="str">
        <f>_xlfn.IFNA(VLOOKUP(Table2[[#This Row],[tee time3]],'Summer FD - groups'!$A$3:$F$20,5,FALSE),"")</f>
        <v/>
      </c>
      <c r="U80" s="69" t="str">
        <f>IF(Table2[[#This Row],[avg gap]]&lt;&gt;"",IFERROR((MAX(starting_interval,IF(Table2[[#This Row],[gap3]]="NA",Table2[[#This Row],[avg gap]],Table2[[#This Row],[gap3]]))-starting_interval)*Table2[[#This Row],[followers3]]/Table2[[#This Row],[group size3]],""),"")</f>
        <v/>
      </c>
      <c r="V80" s="32">
        <f>_xlfn.IFNA(VLOOKUP(Table2[[#This Row],[Name]],'6-6-6 - players'!$A$2:$B$69,2,FALSE),"")</f>
        <v>0.4375</v>
      </c>
      <c r="W80" s="59">
        <f>IF(Table2[[#This Row],[tee time4]]&lt;&gt;"",COUNTIF('6-6-6 - players'!$B$2:$B$69,"="&amp;Table2[[#This Row],[tee time4]]),"")</f>
        <v>4</v>
      </c>
      <c r="X80" s="59">
        <f>_xlfn.IFNA(VLOOKUP(Table2[[#This Row],[tee time4]],'6-6-6 - groups'!$A$3:$F$20,6,FALSE),"")</f>
        <v>8</v>
      </c>
      <c r="Y80" s="4">
        <f>_xlfn.IFNA(VLOOKUP(Table2[[#This Row],[tee time4]],'6-6-6 - groups'!$A$3:$F$20,4,FALSE),"")</f>
        <v>0.18402777777777773</v>
      </c>
      <c r="Z80" s="13">
        <f>_xlfn.IFNA(VLOOKUP(Table2[[#This Row],[tee time4]],'6-6-6 - groups'!$A$3:$F$20,5,FALSE),"")</f>
        <v>1.3888888888888951E-2</v>
      </c>
      <c r="AA80" s="69">
        <f>IF(Table2[[#This Row],[avg gap]]&lt;&gt;"",IFERROR((MAX(starting_interval,IF(Table2[[#This Row],[gap4]]="NA",Table2[[#This Row],[avg gap]],Table2[[#This Row],[gap4]]))-starting_interval)*Table2[[#This Row],[followers4]]/Table2[[#This Row],[group size4]],""),"")</f>
        <v>1.3888888888889013E-2</v>
      </c>
      <c r="AB80" s="32" t="str">
        <f>_xlfn.IFNA(VLOOKUP(Table2[[#This Row],[Name]],'Fall FD - players'!$A$2:$B$65,2,FALSE),"")</f>
        <v/>
      </c>
      <c r="AC80" s="59" t="str">
        <f>IF(Table2[[#This Row],[tee time5]]&lt;&gt;"",COUNTIF('Fall FD - players'!$B$2:$B$65,"="&amp;Table2[[#This Row],[tee time5]]),"")</f>
        <v/>
      </c>
      <c r="AD80" s="59" t="str">
        <f>_xlfn.IFNA(VLOOKUP(Table2[[#This Row],[tee time5]],'Fall FD - groups'!$A$3:$F$20,6,FALSE),"")</f>
        <v/>
      </c>
      <c r="AE80" s="4" t="str">
        <f>_xlfn.IFNA(VLOOKUP(Table2[[#This Row],[tee time5]],'Fall FD - groups'!$A$3:$F$20,4,FALSE),"")</f>
        <v/>
      </c>
      <c r="AF80" s="13" t="str">
        <f>IFERROR(MIN(_xlfn.IFNA(VLOOKUP(Table2[[#This Row],[tee time5]],'Fall FD - groups'!$A$3:$F$20,5,FALSE),""),starting_interval + Table2[[#This Row],[round5]] - standard_round_time),"")</f>
        <v/>
      </c>
      <c r="AG80" s="69" t="str">
        <f>IF(AND(Table2[[#This Row],[gap5]]="NA",Table2[[#This Row],[round5]]&lt;4/24),0,IFERROR((MAX(starting_interval,IF(Table2[[#This Row],[gap5]]="NA",Table2[[#This Row],[avg gap]],Table2[[#This Row],[gap5]]))-starting_interval)*Table2[[#This Row],[followers5]]/Table2[[#This Row],[group size5]],""))</f>
        <v/>
      </c>
      <c r="AH80" s="32" t="str">
        <f>_xlfn.IFNA(VLOOKUP(Table2[[#This Row],[Name]],'Stableford - players'!$A$2:$B$65,2,FALSE),"")</f>
        <v/>
      </c>
      <c r="AI80" s="59" t="str">
        <f>IF(Table2[[#This Row],[tee time6]]&lt;&gt;"",COUNTIF('Stableford - players'!$B$2:$B$65,"="&amp;Table2[[#This Row],[tee time6]]),"")</f>
        <v/>
      </c>
      <c r="AJ80" s="59" t="str">
        <f>_xlfn.IFNA(VLOOKUP(Table2[[#This Row],[tee time6]],'Stableford - groups'!$A$3:$F$20,6,FALSE),"")</f>
        <v/>
      </c>
      <c r="AK80" s="11" t="str">
        <f>_xlfn.IFNA(VLOOKUP(Table2[[#This Row],[tee time6]],'Stableford - groups'!$A$3:$F$20,4,FALSE),"")</f>
        <v/>
      </c>
      <c r="AL80" s="13" t="str">
        <f>_xlfn.IFNA(VLOOKUP(Table2[[#This Row],[tee time6]],'Stableford - groups'!$A$3:$F$20,5,FALSE),"")</f>
        <v/>
      </c>
      <c r="AM80" s="68" t="str">
        <f>IF(AND(Table2[[#This Row],[gap6]]="NA",Table2[[#This Row],[round6]]&lt;4/24),0,IFERROR((MAX(starting_interval,IF(Table2[[#This Row],[gap6]]="NA",Table2[[#This Row],[avg gap]],Table2[[#This Row],[gap6]]))-starting_interval)*Table2[[#This Row],[followers6]]/Table2[[#This Row],[group size6]],""))</f>
        <v/>
      </c>
      <c r="AN80" s="32" t="str">
        <f>_xlfn.IFNA(VLOOKUP(Table2[[#This Row],[Name]],'Turkey Shoot - players'!$A$2:$B$65,2,FALSE),"")</f>
        <v/>
      </c>
      <c r="AO80" s="59" t="str">
        <f>IF(Table2[[#This Row],[tee time7]]&lt;&gt;"",COUNTIF('Turkey Shoot - players'!$B$2:$B$65,"="&amp;Table2[[#This Row],[tee time7]]),"")</f>
        <v/>
      </c>
      <c r="AP80" s="59" t="str">
        <f>_xlfn.IFNA(VLOOKUP(Table2[[#This Row],[tee time7]],'Stableford - groups'!$A$3:$F$20,6,FALSE),"")</f>
        <v/>
      </c>
      <c r="AQ80" s="11" t="str">
        <f>_xlfn.IFNA(VLOOKUP(Table2[[#This Row],[tee time7]],'Turkey Shoot - groups'!$A$3:$F$20,4,FALSE),"")</f>
        <v/>
      </c>
      <c r="AR80" s="13" t="str">
        <f>_xlfn.IFNA(VLOOKUP(Table2[[#This Row],[tee time7]],'Turkey Shoot - groups'!$A$3:$F$20,5,FALSE),"")</f>
        <v/>
      </c>
      <c r="AS80" s="68" t="str">
        <f>IF(AND(Table2[[#This Row],[gap7]]="NA",Table2[[#This Row],[round7]]&lt;4/24),0,IFERROR((MAX(starting_interval,IF(Table2[[#This Row],[gap7]]="NA",Table2[[#This Row],[avg gap]],Table2[[#This Row],[gap7]]))-starting_interval)*Table2[[#This Row],[followers7]]/Table2[[#This Row],[group size7]],""))</f>
        <v/>
      </c>
      <c r="AT80" s="72">
        <f>COUNT(Table2[[#This Row],[Tee time1]],Table2[[#This Row],[tee time2]],Table2[[#This Row],[tee time3]],Table2[[#This Row],[tee time4]],Table2[[#This Row],[tee time5]],Table2[[#This Row],[tee time6]],Table2[[#This Row],[tee time7]])</f>
        <v>3</v>
      </c>
      <c r="AU80" s="4">
        <f>IFERROR(AVERAGE(Table2[[#This Row],[Tee time1]],Table2[[#This Row],[tee time2]],Table2[[#This Row],[tee time3]],Table2[[#This Row],[tee time4]],Table2[[#This Row],[tee time5]],Table2[[#This Row],[tee time6]],Table2[[#This Row],[tee time7]]),"")</f>
        <v>0.41388888888888892</v>
      </c>
      <c r="AV80" s="11">
        <f>IFERROR(MEDIAN(Table2[[#This Row],[round1]],Table2[[#This Row],[Round2]],Table2[[#This Row],[round3]],Table2[[#This Row],[round4]],Table2[[#This Row],[round5]],Table2[[#This Row],[round6]],Table2[[#This Row],[round7]]),"")</f>
        <v>0.18888888888888888</v>
      </c>
      <c r="AW80" s="11">
        <f>IFERROR(AVERAGE(Table2[[#This Row],[gap1]],Table2[[#This Row],[gap2]],Table2[[#This Row],[gap3]],Table2[[#This Row],[gap4]],Table2[[#This Row],[gap5]],Table2[[#This Row],[gap6]],Table2[[#This Row],[gap7]]),"")</f>
        <v>8.796296296296309E-3</v>
      </c>
      <c r="AX80" s="9">
        <f>IFERROR((Table2[[#This Row],[avg gap]]-starting_interval)*24*60*Table2[[#This Row],[Count]],"NA")</f>
        <v>8.0000000000000568</v>
      </c>
      <c r="AY8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1.3888888888889013E-2</v>
      </c>
      <c r="AZ80" s="2"/>
    </row>
    <row r="81" spans="1:52" x14ac:dyDescent="0.3">
      <c r="A81" s="10" t="s">
        <v>143</v>
      </c>
      <c r="B81" s="1" t="s">
        <v>384</v>
      </c>
      <c r="C81" s="19">
        <v>16.100000000000001</v>
      </c>
      <c r="D81" s="32">
        <f>_xlfn.IFNA(VLOOKUP(Table2[[#This Row],[Name]],'Classic day 1 - players'!$A$2:$B$64,2,FALSE),"")</f>
        <v>0.35833333333333334</v>
      </c>
      <c r="E81" s="33">
        <f>IF(Table2[[#This Row],[Tee time1]]&lt;&gt;"",COUNTIF('Classic day 1 - players'!$B$2:$B$64,"="&amp;Table2[[#This Row],[Tee time1]]),"")</f>
        <v>4</v>
      </c>
      <c r="F81" s="33">
        <f>_xlfn.IFNA(VLOOKUP(Table2[[#This Row],[Tee time1]],'Classic day 1 - groups'!$A$3:$F$20,6,FALSE),"")</f>
        <v>52</v>
      </c>
      <c r="G81" s="11">
        <f>_xlfn.IFNA(VLOOKUP(Table2[[#This Row],[Tee time1]],'Classic day 1 - groups'!$A$3:$F$20,4,FALSE),"")</f>
        <v>0.19930555555555557</v>
      </c>
      <c r="H81" s="12">
        <f>_xlfn.IFNA(VLOOKUP(Table2[[#This Row],[Tee time1]],'Classic day 1 - groups'!$A$3:$F$20,5,FALSE),"")</f>
        <v>3.4722222222222099E-3</v>
      </c>
      <c r="I81" s="69">
        <f>IFERROR((MAX(starting_interval,IF(Table2[[#This Row],[gap1]]="NA",Table2[[#This Row],[avg gap]],Table2[[#This Row],[gap1]]))-starting_interval)*Table2[[#This Row],[followers1]]/Table2[[#This Row],[group size]],"")</f>
        <v>0</v>
      </c>
      <c r="J81" s="32" t="str">
        <f>_xlfn.IFNA(VLOOKUP(Table2[[#This Row],[Name]],'Classic day 2 - players'!$A$2:$B$64,2,FALSE),"")</f>
        <v/>
      </c>
      <c r="K81" s="33" t="str">
        <f>IF(Table2[[#This Row],[tee time2]]&lt;&gt;"",COUNTIF('Classic day 2 - players'!$B$2:$B$64,"="&amp;Table2[[#This Row],[tee time2]]),"")</f>
        <v/>
      </c>
      <c r="L81" s="33" t="str">
        <f>_xlfn.IFNA(VLOOKUP(Table2[[#This Row],[tee time2]],'Classic day 2 - groups'!$A$3:$F$20,6,FALSE),"")</f>
        <v/>
      </c>
      <c r="M81" s="4" t="str">
        <f>_xlfn.IFNA(VLOOKUP(Table2[[#This Row],[tee time2]],'Classic day 2 - groups'!$A$3:$F$20,4,FALSE),"")</f>
        <v/>
      </c>
      <c r="N81" s="65" t="str">
        <f>_xlfn.IFNA(VLOOKUP(Table2[[#This Row],[tee time2]],'Classic day 2 - groups'!$A$3:$F$20,5,FALSE),"")</f>
        <v/>
      </c>
      <c r="O81" s="69" t="str">
        <f>IFERROR((MAX(starting_interval,IF(Table2[[#This Row],[gap2]]="NA",Table2[[#This Row],[avg gap]],Table2[[#This Row],[gap2]]))-starting_interval)*Table2[[#This Row],[followers2]]/Table2[[#This Row],[group size2]],"")</f>
        <v/>
      </c>
      <c r="P81" s="32">
        <f>_xlfn.IFNA(VLOOKUP(Table2[[#This Row],[Name]],'Summer FD - players'!$A$2:$B$65,2,FALSE),"")</f>
        <v>0.42638888888888887</v>
      </c>
      <c r="Q81" s="59">
        <f>IF(Table2[[#This Row],[tee time3]]&lt;&gt;"",COUNTIF('Summer FD - players'!$B$2:$B$65,"="&amp;Table2[[#This Row],[tee time3]]),"")</f>
        <v>4</v>
      </c>
      <c r="R81" s="59">
        <f>_xlfn.IFNA(VLOOKUP(Table2[[#This Row],[tee time3]],'Summer FD - groups'!$A$3:$F$20,6,FALSE),"")</f>
        <v>8</v>
      </c>
      <c r="S81" s="4">
        <f>_xlfn.IFNA(VLOOKUP(Table2[[#This Row],[tee time3]],'Summer FD - groups'!$A$3:$F$20,4,FALSE),"")</f>
        <v>0.19583333333333336</v>
      </c>
      <c r="T81" s="13">
        <f>_xlfn.IFNA(VLOOKUP(Table2[[#This Row],[tee time3]],'Summer FD - groups'!$A$3:$F$20,5,FALSE),"")</f>
        <v>5.5555555555555358E-3</v>
      </c>
      <c r="U81" s="69">
        <f>IF(Table2[[#This Row],[avg gap]]&lt;&gt;"",IFERROR((MAX(starting_interval,IF(Table2[[#This Row],[gap3]]="NA",Table2[[#This Row],[avg gap]],Table2[[#This Row],[gap3]]))-starting_interval)*Table2[[#This Row],[followers3]]/Table2[[#This Row],[group size3]],""),"")</f>
        <v>0</v>
      </c>
      <c r="V81" s="32" t="str">
        <f>_xlfn.IFNA(VLOOKUP(Table2[[#This Row],[Name]],'6-6-6 - players'!$A$2:$B$69,2,FALSE),"")</f>
        <v/>
      </c>
      <c r="W81" s="59" t="str">
        <f>IF(Table2[[#This Row],[tee time4]]&lt;&gt;"",COUNTIF('6-6-6 - players'!$B$2:$B$69,"="&amp;Table2[[#This Row],[tee time4]]),"")</f>
        <v/>
      </c>
      <c r="X81" s="59" t="str">
        <f>_xlfn.IFNA(VLOOKUP(Table2[[#This Row],[tee time4]],'6-6-6 - groups'!$A$3:$F$20,6,FALSE),"")</f>
        <v/>
      </c>
      <c r="Y81" s="4" t="str">
        <f>_xlfn.IFNA(VLOOKUP(Table2[[#This Row],[tee time4]],'6-6-6 - groups'!$A$3:$F$20,4,FALSE),"")</f>
        <v/>
      </c>
      <c r="Z81" s="13" t="str">
        <f>_xlfn.IFNA(VLOOKUP(Table2[[#This Row],[tee time4]],'6-6-6 - groups'!$A$3:$F$20,5,FALSE),"")</f>
        <v/>
      </c>
      <c r="AA81" s="69" t="str">
        <f>IF(Table2[[#This Row],[avg gap]]&lt;&gt;"",IFERROR((MAX(starting_interval,IF(Table2[[#This Row],[gap4]]="NA",Table2[[#This Row],[avg gap]],Table2[[#This Row],[gap4]]))-starting_interval)*Table2[[#This Row],[followers4]]/Table2[[#This Row],[group size4]],""),"")</f>
        <v/>
      </c>
      <c r="AB81" s="32">
        <f>_xlfn.IFNA(VLOOKUP(Table2[[#This Row],[Name]],'Fall FD - players'!$A$2:$B$65,2,FALSE),"")</f>
        <v>0.38611111111111113</v>
      </c>
      <c r="AC81" s="59">
        <f>IF(Table2[[#This Row],[tee time5]]&lt;&gt;"",COUNTIF('Fall FD - players'!$B$2:$B$65,"="&amp;Table2[[#This Row],[tee time5]]),"")</f>
        <v>4</v>
      </c>
      <c r="AD81" s="59">
        <f>_xlfn.IFNA(VLOOKUP(Table2[[#This Row],[tee time5]],'Fall FD - groups'!$A$3:$F$20,6,FALSE),"")</f>
        <v>40</v>
      </c>
      <c r="AE81" s="4">
        <f>_xlfn.IFNA(VLOOKUP(Table2[[#This Row],[tee time5]],'Fall FD - groups'!$A$3:$F$20,4,FALSE),"")</f>
        <v>0.18055555555555552</v>
      </c>
      <c r="AF81" s="13">
        <f>IFERROR(MIN(_xlfn.IFNA(VLOOKUP(Table2[[#This Row],[tee time5]],'Fall FD - groups'!$A$3:$F$20,5,FALSE),""),starting_interval + Table2[[#This Row],[round5]] - standard_round_time),"")</f>
        <v>6.9444444444444198E-3</v>
      </c>
      <c r="AG81" s="69">
        <f>IF(AND(Table2[[#This Row],[gap5]]="NA",Table2[[#This Row],[round5]]&lt;4/24),0,IFERROR((MAX(starting_interval,IF(Table2[[#This Row],[gap5]]="NA",Table2[[#This Row],[avg gap]],Table2[[#This Row],[gap5]]))-starting_interval)*Table2[[#This Row],[followers5]]/Table2[[#This Row],[group size5]],""))</f>
        <v>0</v>
      </c>
      <c r="AH81" s="32">
        <f>_xlfn.IFNA(VLOOKUP(Table2[[#This Row],[Name]],'Stableford - players'!$A$2:$B$65,2,FALSE),"")</f>
        <v>0.40972222222222227</v>
      </c>
      <c r="AI81" s="59">
        <f>IF(Table2[[#This Row],[tee time6]]&lt;&gt;"",COUNTIF('Stableford - players'!$B$2:$B$65,"="&amp;Table2[[#This Row],[tee time6]]),"")</f>
        <v>4</v>
      </c>
      <c r="AJ81" s="59">
        <f>_xlfn.IFNA(VLOOKUP(Table2[[#This Row],[tee time6]],'Stableford - groups'!$A$3:$F$20,6,FALSE),"")</f>
        <v>16</v>
      </c>
      <c r="AK81" s="11">
        <f>_xlfn.IFNA(VLOOKUP(Table2[[#This Row],[tee time6]],'Stableford - groups'!$A$3:$F$20,4,FALSE),"")</f>
        <v>0.17291666666666655</v>
      </c>
      <c r="AL81" s="13">
        <f>_xlfn.IFNA(VLOOKUP(Table2[[#This Row],[tee time6]],'Stableford - groups'!$A$3:$F$20,5,FALSE),"")</f>
        <v>8.3333333333333037E-3</v>
      </c>
      <c r="AM81" s="68">
        <f>IF(AND(Table2[[#This Row],[gap6]]="NA",Table2[[#This Row],[round6]]&lt;4/24),0,IFERROR((MAX(starting_interval,IF(Table2[[#This Row],[gap6]]="NA",Table2[[#This Row],[avg gap]],Table2[[#This Row],[gap6]]))-starting_interval)*Table2[[#This Row],[followers6]]/Table2[[#This Row],[group size6]],""))</f>
        <v>5.5555555555554387E-3</v>
      </c>
      <c r="AN81" s="32">
        <f>_xlfn.IFNA(VLOOKUP(Table2[[#This Row],[Name]],'Turkey Shoot - players'!$A$2:$B$65,2,FALSE),"")</f>
        <v>0.39583333333333331</v>
      </c>
      <c r="AO81" s="59">
        <f>IF(Table2[[#This Row],[tee time7]]&lt;&gt;"",COUNTIF('Turkey Shoot - players'!$B$2:$B$65,"="&amp;Table2[[#This Row],[tee time7]]),"")</f>
        <v>4</v>
      </c>
      <c r="AP81" s="59">
        <f>_xlfn.IFNA(VLOOKUP(Table2[[#This Row],[tee time7]],'Stableford - groups'!$A$3:$F$20,6,FALSE),"")</f>
        <v>24</v>
      </c>
      <c r="AQ81" s="11">
        <f>_xlfn.IFNA(VLOOKUP(Table2[[#This Row],[tee time7]],'Turkey Shoot - groups'!$A$3:$F$20,4,FALSE),"")</f>
        <v>0.17152777777777778</v>
      </c>
      <c r="AR81" s="13">
        <f>_xlfn.IFNA(VLOOKUP(Table2[[#This Row],[tee time7]],'Turkey Shoot - groups'!$A$3:$F$20,5,FALSE),"")</f>
        <v>8.3333333333333332E-3</v>
      </c>
      <c r="AS81" s="68">
        <f>IF(AND(Table2[[#This Row],[gap7]]="NA",Table2[[#This Row],[round7]]&lt;4/24),0,IFERROR((MAX(starting_interval,IF(Table2[[#This Row],[gap7]]="NA",Table2[[#This Row],[avg gap]],Table2[[#This Row],[gap7]]))-starting_interval)*Table2[[#This Row],[followers7]]/Table2[[#This Row],[group size7]],""))</f>
        <v>8.333333333333335E-3</v>
      </c>
      <c r="AT81" s="72">
        <f>COUNT(Table2[[#This Row],[Tee time1]],Table2[[#This Row],[tee time2]],Table2[[#This Row],[tee time3]],Table2[[#This Row],[tee time4]],Table2[[#This Row],[tee time5]],Table2[[#This Row],[tee time6]],Table2[[#This Row],[tee time7]])</f>
        <v>5</v>
      </c>
      <c r="AU81" s="4">
        <f>IFERROR(AVERAGE(Table2[[#This Row],[Tee time1]],Table2[[#This Row],[tee time2]],Table2[[#This Row],[tee time3]],Table2[[#This Row],[tee time4]],Table2[[#This Row],[tee time5]],Table2[[#This Row],[tee time6]],Table2[[#This Row],[tee time7]]),"")</f>
        <v>0.39527777777777778</v>
      </c>
      <c r="AV81" s="11">
        <f>IFERROR(MEDIAN(Table2[[#This Row],[round1]],Table2[[#This Row],[Round2]],Table2[[#This Row],[round3]],Table2[[#This Row],[round4]],Table2[[#This Row],[round5]],Table2[[#This Row],[round6]],Table2[[#This Row],[round7]]),"")</f>
        <v>0.18055555555555552</v>
      </c>
      <c r="AW81" s="11">
        <f>IFERROR(AVERAGE(Table2[[#This Row],[gap1]],Table2[[#This Row],[gap2]],Table2[[#This Row],[gap3]],Table2[[#This Row],[gap4]],Table2[[#This Row],[gap5]],Table2[[#This Row],[gap6]],Table2[[#This Row],[gap7]]),"")</f>
        <v>6.52777777777776E-3</v>
      </c>
      <c r="AX81" s="9">
        <f>IFERROR((Table2[[#This Row],[avg gap]]-starting_interval)*24*60*Table2[[#This Row],[Count]],"NA")</f>
        <v>-3.0000000000001252</v>
      </c>
      <c r="AY8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1.3888888888888774E-2</v>
      </c>
      <c r="AZ81" s="2"/>
    </row>
    <row r="82" spans="1:52" x14ac:dyDescent="0.3">
      <c r="A82" s="10" t="s">
        <v>481</v>
      </c>
      <c r="B82" s="28"/>
      <c r="C82" s="29"/>
      <c r="D82" s="63" t="str">
        <f>_xlfn.IFNA(VLOOKUP(Table2[[#This Row],[Name]],'Classic day 1 - players'!$A$2:$B$64,2,FALSE),"")</f>
        <v/>
      </c>
      <c r="E82" s="34" t="str">
        <f>IF(Table2[[#This Row],[Tee time1]]&lt;&gt;"",COUNTIF('Classic day 1 - players'!$B$2:$B$64,"="&amp;Table2[[#This Row],[Tee time1]]),"")</f>
        <v/>
      </c>
      <c r="F82" s="34" t="str">
        <f>_xlfn.IFNA(VLOOKUP(Table2[[#This Row],[Tee time1]],'Classic day 1 - groups'!$A$3:$F$20,6,FALSE),"")</f>
        <v/>
      </c>
      <c r="G82" s="30" t="str">
        <f>_xlfn.IFNA(VLOOKUP(Table2[[#This Row],[Tee time1]],'Classic day 1 - groups'!$A$3:$F$20,4,FALSE),"")</f>
        <v/>
      </c>
      <c r="H82" s="64" t="str">
        <f>_xlfn.IFNA(VLOOKUP(Table2[[#This Row],[Tee time1]],'Classic day 1 - groups'!$A$3:$F$20,5,FALSE),"")</f>
        <v/>
      </c>
      <c r="I82" s="69" t="str">
        <f>IFERROR((MAX(starting_interval,IF(Table2[[#This Row],[gap1]]="NA",Table2[[#This Row],[avg gap]],Table2[[#This Row],[gap1]]))-starting_interval)*Table2[[#This Row],[followers1]]/Table2[[#This Row],[group size]],"")</f>
        <v/>
      </c>
      <c r="J82" s="32" t="str">
        <f>_xlfn.IFNA(VLOOKUP(Table2[[#This Row],[Name]],'Classic day 2 - players'!$A$2:$B$64,2,FALSE),"")</f>
        <v/>
      </c>
      <c r="K82" s="33" t="str">
        <f>IF(Table2[[#This Row],[tee time2]]&lt;&gt;"",COUNTIF('Classic day 2 - players'!$B$2:$B$64,"="&amp;Table2[[#This Row],[tee time2]]),"")</f>
        <v/>
      </c>
      <c r="L82" s="33" t="str">
        <f>_xlfn.IFNA(VLOOKUP(Table2[[#This Row],[tee time2]],'Classic day 2 - groups'!$A$3:$F$20,6,FALSE),"")</f>
        <v/>
      </c>
      <c r="M82" s="4" t="str">
        <f>_xlfn.IFNA(VLOOKUP(Table2[[#This Row],[tee time2]],'Classic day 2 - groups'!$A$3:$F$20,4,FALSE),"")</f>
        <v/>
      </c>
      <c r="N82" s="65" t="str">
        <f>_xlfn.IFNA(VLOOKUP(Table2[[#This Row],[tee time2]],'Classic day 2 - groups'!$A$3:$F$20,5,FALSE),"")</f>
        <v/>
      </c>
      <c r="O82" s="69" t="str">
        <f>IFERROR((MAX(starting_interval,IF(Table2[[#This Row],[gap2]]="NA",Table2[[#This Row],[avg gap]],Table2[[#This Row],[gap2]]))-starting_interval)*Table2[[#This Row],[followers2]]/Table2[[#This Row],[group size2]],"")</f>
        <v/>
      </c>
      <c r="P82" s="66" t="str">
        <f>_xlfn.IFNA(VLOOKUP(Table2[[#This Row],[Name]],'Summer FD - players'!$A$2:$B$65,2,FALSE),"")</f>
        <v/>
      </c>
      <c r="Q82" s="60" t="str">
        <f>IF(Table2[[#This Row],[tee time3]]&lt;&gt;"",COUNTIF('Summer FD - players'!$B$2:$B$65,"="&amp;Table2[[#This Row],[tee time3]]),"")</f>
        <v/>
      </c>
      <c r="R82" s="60" t="str">
        <f>_xlfn.IFNA(VLOOKUP(Table2[[#This Row],[tee time3]],'Summer FD - groups'!$A$3:$F$20,6,FALSE),"")</f>
        <v/>
      </c>
      <c r="S82" s="3" t="str">
        <f>_xlfn.IFNA(VLOOKUP(Table2[[#This Row],[tee time3]],'Summer FD - groups'!$A$3:$F$20,4,FALSE),"")</f>
        <v/>
      </c>
      <c r="T82" s="65" t="str">
        <f>_xlfn.IFNA(VLOOKUP(Table2[[#This Row],[tee time3]],'Summer FD - groups'!$A$3:$F$20,5,FALSE),"")</f>
        <v/>
      </c>
      <c r="U82" s="69" t="str">
        <f>IF(Table2[[#This Row],[avg gap]]&lt;&gt;"",IFERROR((MAX(starting_interval,IF(Table2[[#This Row],[gap3]]="NA",Table2[[#This Row],[avg gap]],Table2[[#This Row],[gap3]]))-starting_interval)*Table2[[#This Row],[followers3]]/Table2[[#This Row],[group size3]],""),"")</f>
        <v/>
      </c>
      <c r="V82" s="32">
        <f>_xlfn.IFNA(VLOOKUP(Table2[[#This Row],[Name]],'6-6-6 - players'!$A$2:$B$69,2,FALSE),"")</f>
        <v>0.43055555555555558</v>
      </c>
      <c r="W82" s="60">
        <f>IF(Table2[[#This Row],[tee time4]]&lt;&gt;"",COUNTIF('6-6-6 - players'!$B$2:$B$69,"="&amp;Table2[[#This Row],[tee time4]]),"")</f>
        <v>4</v>
      </c>
      <c r="X82" s="60">
        <f>_xlfn.IFNA(VLOOKUP(Table2[[#This Row],[tee time4]],'6-6-6 - groups'!$A$3:$F$20,6,FALSE),"")</f>
        <v>12</v>
      </c>
      <c r="Y82" s="4">
        <f>_xlfn.IFNA(VLOOKUP(Table2[[#This Row],[tee time4]],'6-6-6 - groups'!$A$3:$F$20,4,FALSE),"")</f>
        <v>0.1777777777777777</v>
      </c>
      <c r="Z82" s="13">
        <f>_xlfn.IFNA(VLOOKUP(Table2[[#This Row],[tee time4]],'6-6-6 - groups'!$A$3:$F$20,5,FALSE),"")</f>
        <v>1.041666666666663E-2</v>
      </c>
      <c r="AA82" s="69">
        <f>IF(Table2[[#This Row],[avg gap]]&lt;&gt;"",IFERROR((MAX(starting_interval,IF(Table2[[#This Row],[gap4]]="NA",Table2[[#This Row],[avg gap]],Table2[[#This Row],[gap4]]))-starting_interval)*Table2[[#This Row],[followers4]]/Table2[[#This Row],[group size4]],""),"")</f>
        <v>1.0416666666666557E-2</v>
      </c>
      <c r="AB82" s="32" t="str">
        <f>_xlfn.IFNA(VLOOKUP(Table2[[#This Row],[Name]],'Fall FD - players'!$A$2:$B$65,2,FALSE),"")</f>
        <v/>
      </c>
      <c r="AC82" s="60" t="str">
        <f>IF(Table2[[#This Row],[tee time5]]&lt;&gt;"",COUNTIF('Fall FD - players'!$B$2:$B$65,"="&amp;Table2[[#This Row],[tee time5]]),"")</f>
        <v/>
      </c>
      <c r="AD82" s="60" t="str">
        <f>_xlfn.IFNA(VLOOKUP(Table2[[#This Row],[tee time5]],'Fall FD - groups'!$A$3:$F$20,6,FALSE),"")</f>
        <v/>
      </c>
      <c r="AE82" s="4" t="str">
        <f>_xlfn.IFNA(VLOOKUP(Table2[[#This Row],[tee time5]],'Fall FD - groups'!$A$3:$F$20,4,FALSE),"")</f>
        <v/>
      </c>
      <c r="AF82" s="13" t="str">
        <f>IFERROR(MIN(_xlfn.IFNA(VLOOKUP(Table2[[#This Row],[tee time5]],'Fall FD - groups'!$A$3:$F$20,5,FALSE),""),starting_interval + Table2[[#This Row],[round5]] - standard_round_time),"")</f>
        <v/>
      </c>
      <c r="AG82" s="69" t="str">
        <f>IF(AND(Table2[[#This Row],[gap5]]="NA",Table2[[#This Row],[round5]]&lt;4/24),0,IFERROR((MAX(starting_interval,IF(Table2[[#This Row],[gap5]]="NA",Table2[[#This Row],[avg gap]],Table2[[#This Row],[gap5]]))-starting_interval)*Table2[[#This Row],[followers5]]/Table2[[#This Row],[group size5]],""))</f>
        <v/>
      </c>
      <c r="AH82" s="32" t="str">
        <f>_xlfn.IFNA(VLOOKUP(Table2[[#This Row],[Name]],'Stableford - players'!$A$2:$B$65,2,FALSE),"")</f>
        <v/>
      </c>
      <c r="AI82" s="60" t="str">
        <f>IF(Table2[[#This Row],[tee time6]]&lt;&gt;"",COUNTIF('Stableford - players'!$B$2:$B$65,"="&amp;Table2[[#This Row],[tee time6]]),"")</f>
        <v/>
      </c>
      <c r="AJ82" s="59" t="str">
        <f>_xlfn.IFNA(VLOOKUP(Table2[[#This Row],[tee time6]],'Stableford - groups'!$A$3:$F$20,6,FALSE),"")</f>
        <v/>
      </c>
      <c r="AK82" s="11" t="str">
        <f>_xlfn.IFNA(VLOOKUP(Table2[[#This Row],[tee time6]],'Stableford - groups'!$A$3:$F$20,4,FALSE),"")</f>
        <v/>
      </c>
      <c r="AL82" s="13" t="str">
        <f>_xlfn.IFNA(VLOOKUP(Table2[[#This Row],[tee time6]],'Stableford - groups'!$A$3:$F$20,5,FALSE),"")</f>
        <v/>
      </c>
      <c r="AM82" s="68" t="str">
        <f>IF(AND(Table2[[#This Row],[gap6]]="NA",Table2[[#This Row],[round6]]&lt;4/24),0,IFERROR((MAX(starting_interval,IF(Table2[[#This Row],[gap6]]="NA",Table2[[#This Row],[avg gap]],Table2[[#This Row],[gap6]]))-starting_interval)*Table2[[#This Row],[followers6]]/Table2[[#This Row],[group size6]],""))</f>
        <v/>
      </c>
      <c r="AN82" s="32" t="str">
        <f>_xlfn.IFNA(VLOOKUP(Table2[[#This Row],[Name]],'Turkey Shoot - players'!$A$2:$B$65,2,FALSE),"")</f>
        <v/>
      </c>
      <c r="AO82" s="59" t="str">
        <f>IF(Table2[[#This Row],[tee time7]]&lt;&gt;"",COUNTIF('Turkey Shoot - players'!$B$2:$B$65,"="&amp;Table2[[#This Row],[tee time7]]),"")</f>
        <v/>
      </c>
      <c r="AP82" s="59" t="str">
        <f>_xlfn.IFNA(VLOOKUP(Table2[[#This Row],[tee time7]],'Stableford - groups'!$A$3:$F$20,6,FALSE),"")</f>
        <v/>
      </c>
      <c r="AQ82" s="11" t="str">
        <f>_xlfn.IFNA(VLOOKUP(Table2[[#This Row],[tee time7]],'Turkey Shoot - groups'!$A$3:$F$20,4,FALSE),"")</f>
        <v/>
      </c>
      <c r="AR82" s="13" t="str">
        <f>_xlfn.IFNA(VLOOKUP(Table2[[#This Row],[tee time7]],'Turkey Shoot - groups'!$A$3:$F$20,5,FALSE),"")</f>
        <v/>
      </c>
      <c r="AS82" s="68" t="str">
        <f>IF(AND(Table2[[#This Row],[gap7]]="NA",Table2[[#This Row],[round7]]&lt;4/24),0,IFERROR((MAX(starting_interval,IF(Table2[[#This Row],[gap7]]="NA",Table2[[#This Row],[avg gap]],Table2[[#This Row],[gap7]]))-starting_interval)*Table2[[#This Row],[followers7]]/Table2[[#This Row],[group size7]],""))</f>
        <v/>
      </c>
      <c r="AT82" s="72">
        <f>COUNT(Table2[[#This Row],[Tee time1]],Table2[[#This Row],[tee time2]],Table2[[#This Row],[tee time3]],Table2[[#This Row],[tee time4]],Table2[[#This Row],[tee time5]],Table2[[#This Row],[tee time6]],Table2[[#This Row],[tee time7]])</f>
        <v>1</v>
      </c>
      <c r="AU82" s="4">
        <f>IFERROR(AVERAGE(Table2[[#This Row],[Tee time1]],Table2[[#This Row],[tee time2]],Table2[[#This Row],[tee time3]],Table2[[#This Row],[tee time4]],Table2[[#This Row],[tee time5]],Table2[[#This Row],[tee time6]],Table2[[#This Row],[tee time7]]),"")</f>
        <v>0.43055555555555558</v>
      </c>
      <c r="AV82" s="30">
        <f>IFERROR(MEDIAN(Table2[[#This Row],[round1]],Table2[[#This Row],[Round2]],Table2[[#This Row],[round3]],Table2[[#This Row],[round4]],Table2[[#This Row],[round5]],Table2[[#This Row],[round6]],Table2[[#This Row],[round7]]),"")</f>
        <v>0.1777777777777777</v>
      </c>
      <c r="AW82" s="30">
        <f>IFERROR(AVERAGE(Table2[[#This Row],[gap1]],Table2[[#This Row],[gap2]],Table2[[#This Row],[gap3]],Table2[[#This Row],[gap4]],Table2[[#This Row],[gap5]],Table2[[#This Row],[gap6]],Table2[[#This Row],[gap7]]),"")</f>
        <v>1.041666666666663E-2</v>
      </c>
      <c r="AX82" s="9">
        <f>IFERROR((Table2[[#This Row],[avg gap]]-starting_interval)*24*60*Table2[[#This Row],[Count]],"NA")</f>
        <v>4.9999999999999476</v>
      </c>
      <c r="AY8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1.0416666666666557E-2</v>
      </c>
      <c r="AZ82" s="2"/>
    </row>
    <row r="83" spans="1:52" x14ac:dyDescent="0.3">
      <c r="A83" s="10" t="s">
        <v>145</v>
      </c>
      <c r="B83" s="1" t="s">
        <v>386</v>
      </c>
      <c r="C83" s="19">
        <v>13.9</v>
      </c>
      <c r="D83" s="32" t="str">
        <f>_xlfn.IFNA(VLOOKUP(Table2[[#This Row],[Name]],'Classic day 1 - players'!$A$2:$B$64,2,FALSE),"")</f>
        <v/>
      </c>
      <c r="E83" s="33" t="str">
        <f>IF(Table2[[#This Row],[Tee time1]]&lt;&gt;"",COUNTIF('Classic day 1 - players'!$B$2:$B$64,"="&amp;Table2[[#This Row],[Tee time1]]),"")</f>
        <v/>
      </c>
      <c r="F83" s="33" t="str">
        <f>_xlfn.IFNA(VLOOKUP(Table2[[#This Row],[Tee time1]],'Classic day 1 - groups'!$A$3:$F$20,6,FALSE),"")</f>
        <v/>
      </c>
      <c r="G83" s="11" t="str">
        <f>_xlfn.IFNA(VLOOKUP(Table2[[#This Row],[Tee time1]],'Classic day 1 - groups'!$A$3:$F$20,4,FALSE),"")</f>
        <v/>
      </c>
      <c r="H83" s="12" t="str">
        <f>_xlfn.IFNA(VLOOKUP(Table2[[#This Row],[Tee time1]],'Classic day 1 - groups'!$A$3:$F$20,5,FALSE),"")</f>
        <v/>
      </c>
      <c r="I83" s="69" t="str">
        <f>IFERROR((MAX(starting_interval,IF(Table2[[#This Row],[gap1]]="NA",Table2[[#This Row],[avg gap]],Table2[[#This Row],[gap1]]))-starting_interval)*Table2[[#This Row],[followers1]]/Table2[[#This Row],[group size]],"")</f>
        <v/>
      </c>
      <c r="J83" s="32" t="str">
        <f>_xlfn.IFNA(VLOOKUP(Table2[[#This Row],[Name]],'Classic day 2 - players'!$A$2:$B$64,2,FALSE),"")</f>
        <v/>
      </c>
      <c r="K83" s="33" t="str">
        <f>IF(Table2[[#This Row],[tee time2]]&lt;&gt;"",COUNTIF('Classic day 2 - players'!$B$2:$B$64,"="&amp;Table2[[#This Row],[tee time2]]),"")</f>
        <v/>
      </c>
      <c r="L83" s="33" t="str">
        <f>_xlfn.IFNA(VLOOKUP(Table2[[#This Row],[tee time2]],'Classic day 2 - groups'!$A$3:$F$20,6,FALSE),"")</f>
        <v/>
      </c>
      <c r="M83" s="4" t="str">
        <f>_xlfn.IFNA(VLOOKUP(Table2[[#This Row],[tee time2]],'Classic day 2 - groups'!$A$3:$F$20,4,FALSE),"")</f>
        <v/>
      </c>
      <c r="N83" s="65" t="str">
        <f>_xlfn.IFNA(VLOOKUP(Table2[[#This Row],[tee time2]],'Classic day 2 - groups'!$A$3:$F$20,5,FALSE),"")</f>
        <v/>
      </c>
      <c r="O83" s="69" t="str">
        <f>IFERROR((MAX(starting_interval,IF(Table2[[#This Row],[gap2]]="NA",Table2[[#This Row],[avg gap]],Table2[[#This Row],[gap2]]))-starting_interval)*Table2[[#This Row],[followers2]]/Table2[[#This Row],[group size2]],"")</f>
        <v/>
      </c>
      <c r="P83" s="32">
        <f>_xlfn.IFNA(VLOOKUP(Table2[[#This Row],[Name]],'Summer FD - players'!$A$2:$B$65,2,FALSE),"")</f>
        <v>0.4055555555555555</v>
      </c>
      <c r="Q83" s="59">
        <f>IF(Table2[[#This Row],[tee time3]]&lt;&gt;"",COUNTIF('Summer FD - players'!$B$2:$B$65,"="&amp;Table2[[#This Row],[tee time3]]),"")</f>
        <v>4</v>
      </c>
      <c r="R83" s="59">
        <f>_xlfn.IFNA(VLOOKUP(Table2[[#This Row],[tee time3]],'Summer FD - groups'!$A$3:$F$20,6,FALSE),"")</f>
        <v>20</v>
      </c>
      <c r="S83" s="4">
        <f>_xlfn.IFNA(VLOOKUP(Table2[[#This Row],[tee time3]],'Summer FD - groups'!$A$3:$F$20,4,FALSE),"")</f>
        <v>0.19791666666666669</v>
      </c>
      <c r="T83" s="13">
        <f>_xlfn.IFNA(VLOOKUP(Table2[[#This Row],[tee time3]],'Summer FD - groups'!$A$3:$F$20,5,FALSE),"")</f>
        <v>9.0277777777777457E-3</v>
      </c>
      <c r="U83" s="69">
        <f>IF(Table2[[#This Row],[avg gap]]&lt;&gt;"",IFERROR((MAX(starting_interval,IF(Table2[[#This Row],[gap3]]="NA",Table2[[#This Row],[avg gap]],Table2[[#This Row],[gap3]]))-starting_interval)*Table2[[#This Row],[followers3]]/Table2[[#This Row],[group size3]],""),"")</f>
        <v>1.0416666666666508E-2</v>
      </c>
      <c r="V83" s="32" t="str">
        <f>_xlfn.IFNA(VLOOKUP(Table2[[#This Row],[Name]],'6-6-6 - players'!$A$2:$B$69,2,FALSE),"")</f>
        <v/>
      </c>
      <c r="W83" s="59" t="str">
        <f>IF(Table2[[#This Row],[tee time4]]&lt;&gt;"",COUNTIF('6-6-6 - players'!$B$2:$B$69,"="&amp;Table2[[#This Row],[tee time4]]),"")</f>
        <v/>
      </c>
      <c r="X83" s="59" t="str">
        <f>_xlfn.IFNA(VLOOKUP(Table2[[#This Row],[tee time4]],'6-6-6 - groups'!$A$3:$F$20,6,FALSE),"")</f>
        <v/>
      </c>
      <c r="Y83" s="4" t="str">
        <f>_xlfn.IFNA(VLOOKUP(Table2[[#This Row],[tee time4]],'6-6-6 - groups'!$A$3:$F$20,4,FALSE),"")</f>
        <v/>
      </c>
      <c r="Z83" s="13" t="str">
        <f>_xlfn.IFNA(VLOOKUP(Table2[[#This Row],[tee time4]],'6-6-6 - groups'!$A$3:$F$20,5,FALSE),"")</f>
        <v/>
      </c>
      <c r="AA83" s="69" t="str">
        <f>IF(Table2[[#This Row],[avg gap]]&lt;&gt;"",IFERROR((MAX(starting_interval,IF(Table2[[#This Row],[gap4]]="NA",Table2[[#This Row],[avg gap]],Table2[[#This Row],[gap4]]))-starting_interval)*Table2[[#This Row],[followers4]]/Table2[[#This Row],[group size4]],""),"")</f>
        <v/>
      </c>
      <c r="AB83" s="32" t="str">
        <f>_xlfn.IFNA(VLOOKUP(Table2[[#This Row],[Name]],'Fall FD - players'!$A$2:$B$65,2,FALSE),"")</f>
        <v/>
      </c>
      <c r="AC83" s="59" t="str">
        <f>IF(Table2[[#This Row],[tee time5]]&lt;&gt;"",COUNTIF('Fall FD - players'!$B$2:$B$65,"="&amp;Table2[[#This Row],[tee time5]]),"")</f>
        <v/>
      </c>
      <c r="AD83" s="59" t="str">
        <f>_xlfn.IFNA(VLOOKUP(Table2[[#This Row],[tee time5]],'Fall FD - groups'!$A$3:$F$20,6,FALSE),"")</f>
        <v/>
      </c>
      <c r="AE83" s="4" t="str">
        <f>_xlfn.IFNA(VLOOKUP(Table2[[#This Row],[tee time5]],'Fall FD - groups'!$A$3:$F$20,4,FALSE),"")</f>
        <v/>
      </c>
      <c r="AF83" s="13" t="str">
        <f>IFERROR(MIN(_xlfn.IFNA(VLOOKUP(Table2[[#This Row],[tee time5]],'Fall FD - groups'!$A$3:$F$20,5,FALSE),""),starting_interval + Table2[[#This Row],[round5]] - standard_round_time),"")</f>
        <v/>
      </c>
      <c r="AG83" s="69" t="str">
        <f>IF(AND(Table2[[#This Row],[gap5]]="NA",Table2[[#This Row],[round5]]&lt;4/24),0,IFERROR((MAX(starting_interval,IF(Table2[[#This Row],[gap5]]="NA",Table2[[#This Row],[avg gap]],Table2[[#This Row],[gap5]]))-starting_interval)*Table2[[#This Row],[followers5]]/Table2[[#This Row],[group size5]],""))</f>
        <v/>
      </c>
      <c r="AH83" s="32" t="str">
        <f>_xlfn.IFNA(VLOOKUP(Table2[[#This Row],[Name]],'Stableford - players'!$A$2:$B$65,2,FALSE),"")</f>
        <v/>
      </c>
      <c r="AI83" s="59" t="str">
        <f>IF(Table2[[#This Row],[tee time6]]&lt;&gt;"",COUNTIF('Stableford - players'!$B$2:$B$65,"="&amp;Table2[[#This Row],[tee time6]]),"")</f>
        <v/>
      </c>
      <c r="AJ83" s="59" t="str">
        <f>_xlfn.IFNA(VLOOKUP(Table2[[#This Row],[tee time6]],'Stableford - groups'!$A$3:$F$20,6,FALSE),"")</f>
        <v/>
      </c>
      <c r="AK83" s="11" t="str">
        <f>_xlfn.IFNA(VLOOKUP(Table2[[#This Row],[tee time6]],'Stableford - groups'!$A$3:$F$20,4,FALSE),"")</f>
        <v/>
      </c>
      <c r="AL83" s="13" t="str">
        <f>_xlfn.IFNA(VLOOKUP(Table2[[#This Row],[tee time6]],'Stableford - groups'!$A$3:$F$20,5,FALSE),"")</f>
        <v/>
      </c>
      <c r="AM83" s="68" t="str">
        <f>IF(AND(Table2[[#This Row],[gap6]]="NA",Table2[[#This Row],[round6]]&lt;4/24),0,IFERROR((MAX(starting_interval,IF(Table2[[#This Row],[gap6]]="NA",Table2[[#This Row],[avg gap]],Table2[[#This Row],[gap6]]))-starting_interval)*Table2[[#This Row],[followers6]]/Table2[[#This Row],[group size6]],""))</f>
        <v/>
      </c>
      <c r="AN83" s="32" t="str">
        <f>_xlfn.IFNA(VLOOKUP(Table2[[#This Row],[Name]],'Turkey Shoot - players'!$A$2:$B$65,2,FALSE),"")</f>
        <v/>
      </c>
      <c r="AO83" s="59" t="str">
        <f>IF(Table2[[#This Row],[tee time7]]&lt;&gt;"",COUNTIF('Turkey Shoot - players'!$B$2:$B$65,"="&amp;Table2[[#This Row],[tee time7]]),"")</f>
        <v/>
      </c>
      <c r="AP83" s="59" t="str">
        <f>_xlfn.IFNA(VLOOKUP(Table2[[#This Row],[tee time7]],'Stableford - groups'!$A$3:$F$20,6,FALSE),"")</f>
        <v/>
      </c>
      <c r="AQ83" s="11" t="str">
        <f>_xlfn.IFNA(VLOOKUP(Table2[[#This Row],[tee time7]],'Turkey Shoot - groups'!$A$3:$F$20,4,FALSE),"")</f>
        <v/>
      </c>
      <c r="AR83" s="13" t="str">
        <f>_xlfn.IFNA(VLOOKUP(Table2[[#This Row],[tee time7]],'Turkey Shoot - groups'!$A$3:$F$20,5,FALSE),"")</f>
        <v/>
      </c>
      <c r="AS83" s="68" t="str">
        <f>IF(AND(Table2[[#This Row],[gap7]]="NA",Table2[[#This Row],[round7]]&lt;4/24),0,IFERROR((MAX(starting_interval,IF(Table2[[#This Row],[gap7]]="NA",Table2[[#This Row],[avg gap]],Table2[[#This Row],[gap7]]))-starting_interval)*Table2[[#This Row],[followers7]]/Table2[[#This Row],[group size7]],""))</f>
        <v/>
      </c>
      <c r="AT83" s="72">
        <f>COUNT(Table2[[#This Row],[Tee time1]],Table2[[#This Row],[tee time2]],Table2[[#This Row],[tee time3]],Table2[[#This Row],[tee time4]],Table2[[#This Row],[tee time5]],Table2[[#This Row],[tee time6]],Table2[[#This Row],[tee time7]])</f>
        <v>1</v>
      </c>
      <c r="AU83" s="4">
        <f>IFERROR(AVERAGE(Table2[[#This Row],[Tee time1]],Table2[[#This Row],[tee time2]],Table2[[#This Row],[tee time3]],Table2[[#This Row],[tee time4]],Table2[[#This Row],[tee time5]],Table2[[#This Row],[tee time6]],Table2[[#This Row],[tee time7]]),"")</f>
        <v>0.4055555555555555</v>
      </c>
      <c r="AV83" s="11">
        <f>IFERROR(MEDIAN(Table2[[#This Row],[round1]],Table2[[#This Row],[Round2]],Table2[[#This Row],[round3]],Table2[[#This Row],[round4]],Table2[[#This Row],[round5]],Table2[[#This Row],[round6]],Table2[[#This Row],[round7]]),"")</f>
        <v>0.19791666666666669</v>
      </c>
      <c r="AW83" s="11">
        <f>IFERROR(AVERAGE(Table2[[#This Row],[gap1]],Table2[[#This Row],[gap2]],Table2[[#This Row],[gap3]],Table2[[#This Row],[gap4]],Table2[[#This Row],[gap5]],Table2[[#This Row],[gap6]],Table2[[#This Row],[gap7]]),"")</f>
        <v>9.0277777777777457E-3</v>
      </c>
      <c r="AX83" s="9">
        <f>IFERROR((Table2[[#This Row],[avg gap]]-starting_interval)*24*60*Table2[[#This Row],[Count]],"NA")</f>
        <v>2.9999999999999543</v>
      </c>
      <c r="AY8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1.0416666666666508E-2</v>
      </c>
      <c r="AZ83" s="2"/>
    </row>
    <row r="84" spans="1:52" x14ac:dyDescent="0.3">
      <c r="A84" s="10" t="s">
        <v>52</v>
      </c>
      <c r="B84" s="1" t="s">
        <v>290</v>
      </c>
      <c r="C84" s="19">
        <v>15.6</v>
      </c>
      <c r="D84" s="32" t="str">
        <f>_xlfn.IFNA(VLOOKUP(Table2[[#This Row],[Name]],'Classic day 1 - players'!$A$2:$B$64,2,FALSE),"")</f>
        <v/>
      </c>
      <c r="E84" s="33" t="str">
        <f>IF(Table2[[#This Row],[Tee time1]]&lt;&gt;"",COUNTIF('Classic day 1 - players'!$B$2:$B$64,"="&amp;Table2[[#This Row],[Tee time1]]),"")</f>
        <v/>
      </c>
      <c r="F84" s="33" t="str">
        <f>_xlfn.IFNA(VLOOKUP(Table2[[#This Row],[Tee time1]],'Classic day 1 - groups'!$A$3:$F$20,6,FALSE),"")</f>
        <v/>
      </c>
      <c r="G84" s="11" t="str">
        <f>_xlfn.IFNA(VLOOKUP(Table2[[#This Row],[Tee time1]],'Classic day 1 - groups'!$A$3:$F$20,4,FALSE),"")</f>
        <v/>
      </c>
      <c r="H84" s="12" t="str">
        <f>_xlfn.IFNA(VLOOKUP(Table2[[#This Row],[Tee time1]],'Classic day 1 - groups'!$A$3:$F$20,5,FALSE),"")</f>
        <v/>
      </c>
      <c r="I84" s="69" t="str">
        <f>IFERROR((MAX(starting_interval,IF(Table2[[#This Row],[gap1]]="NA",Table2[[#This Row],[avg gap]],Table2[[#This Row],[gap1]]))-starting_interval)*Table2[[#This Row],[followers1]]/Table2[[#This Row],[group size]],"")</f>
        <v/>
      </c>
      <c r="J84" s="32" t="str">
        <f>_xlfn.IFNA(VLOOKUP(Table2[[#This Row],[Name]],'Classic day 2 - players'!$A$2:$B$64,2,FALSE),"")</f>
        <v/>
      </c>
      <c r="K84" s="33" t="str">
        <f>IF(Table2[[#This Row],[tee time2]]&lt;&gt;"",COUNTIF('Classic day 2 - players'!$B$2:$B$64,"="&amp;Table2[[#This Row],[tee time2]]),"")</f>
        <v/>
      </c>
      <c r="L84" s="33" t="str">
        <f>_xlfn.IFNA(VLOOKUP(Table2[[#This Row],[tee time2]],'Classic day 2 - groups'!$A$3:$F$20,6,FALSE),"")</f>
        <v/>
      </c>
      <c r="M84" s="4" t="str">
        <f>_xlfn.IFNA(VLOOKUP(Table2[[#This Row],[tee time2]],'Classic day 2 - groups'!$A$3:$F$20,4,FALSE),"")</f>
        <v/>
      </c>
      <c r="N84" s="65" t="str">
        <f>_xlfn.IFNA(VLOOKUP(Table2[[#This Row],[tee time2]],'Classic day 2 - groups'!$A$3:$F$20,5,FALSE),"")</f>
        <v/>
      </c>
      <c r="O84" s="69" t="str">
        <f>IFERROR((MAX(starting_interval,IF(Table2[[#This Row],[gap2]]="NA",Table2[[#This Row],[avg gap]],Table2[[#This Row],[gap2]]))-starting_interval)*Table2[[#This Row],[followers2]]/Table2[[#This Row],[group size2]],"")</f>
        <v/>
      </c>
      <c r="P84" s="32" t="str">
        <f>_xlfn.IFNA(VLOOKUP(Table2[[#This Row],[Name]],'Summer FD - players'!$A$2:$B$65,2,FALSE),"")</f>
        <v/>
      </c>
      <c r="Q84" s="59" t="str">
        <f>IF(Table2[[#This Row],[tee time3]]&lt;&gt;"",COUNTIF('Summer FD - players'!$B$2:$B$65,"="&amp;Table2[[#This Row],[tee time3]]),"")</f>
        <v/>
      </c>
      <c r="R84" s="59" t="str">
        <f>_xlfn.IFNA(VLOOKUP(Table2[[#This Row],[tee time3]],'Summer FD - groups'!$A$3:$F$20,6,FALSE),"")</f>
        <v/>
      </c>
      <c r="S84" s="4" t="str">
        <f>_xlfn.IFNA(VLOOKUP(Table2[[#This Row],[tee time3]],'Summer FD - groups'!$A$3:$F$20,4,FALSE),"")</f>
        <v/>
      </c>
      <c r="T84" s="13" t="str">
        <f>_xlfn.IFNA(VLOOKUP(Table2[[#This Row],[tee time3]],'Summer FD - groups'!$A$3:$F$20,5,FALSE),"")</f>
        <v/>
      </c>
      <c r="U84" s="69" t="str">
        <f>IF(Table2[[#This Row],[avg gap]]&lt;&gt;"",IFERROR((MAX(starting_interval,IF(Table2[[#This Row],[gap3]]="NA",Table2[[#This Row],[avg gap]],Table2[[#This Row],[gap3]]))-starting_interval)*Table2[[#This Row],[followers3]]/Table2[[#This Row],[group size3]],""),"")</f>
        <v/>
      </c>
      <c r="V84" s="32">
        <f>_xlfn.IFNA(VLOOKUP(Table2[[#This Row],[Name]],'6-6-6 - players'!$A$2:$B$69,2,FALSE),"")</f>
        <v>0.44444444444444442</v>
      </c>
      <c r="W84" s="59">
        <f>IF(Table2[[#This Row],[tee time4]]&lt;&gt;"",COUNTIF('6-6-6 - players'!$B$2:$B$69,"="&amp;Table2[[#This Row],[tee time4]]),"")</f>
        <v>4</v>
      </c>
      <c r="X84" s="59">
        <f>_xlfn.IFNA(VLOOKUP(Table2[[#This Row],[tee time4]],'6-6-6 - groups'!$A$3:$F$20,6,FALSE),"")</f>
        <v>4</v>
      </c>
      <c r="Y84" s="4">
        <f>_xlfn.IFNA(VLOOKUP(Table2[[#This Row],[tee time4]],'6-6-6 - groups'!$A$3:$F$20,4,FALSE),"")</f>
        <v>0.19027777777777782</v>
      </c>
      <c r="Z84" s="13">
        <f>_xlfn.IFNA(VLOOKUP(Table2[[#This Row],[tee time4]],'6-6-6 - groups'!$A$3:$F$20,5,FALSE),"")</f>
        <v>1.6666666666666718E-2</v>
      </c>
      <c r="AA84" s="69">
        <f>IF(Table2[[#This Row],[avg gap]]&lt;&gt;"",IFERROR((MAX(starting_interval,IF(Table2[[#This Row],[gap4]]="NA",Table2[[#This Row],[avg gap]],Table2[[#This Row],[gap4]]))-starting_interval)*Table2[[#This Row],[followers4]]/Table2[[#This Row],[group size4]],""),"")</f>
        <v>9.7222222222222744E-3</v>
      </c>
      <c r="AB84" s="32">
        <f>_xlfn.IFNA(VLOOKUP(Table2[[#This Row],[Name]],'Fall FD - players'!$A$2:$B$65,2,FALSE),"")</f>
        <v>0.42777777777777781</v>
      </c>
      <c r="AC84" s="59">
        <f>IF(Table2[[#This Row],[tee time5]]&lt;&gt;"",COUNTIF('Fall FD - players'!$B$2:$B$65,"="&amp;Table2[[#This Row],[tee time5]]),"")</f>
        <v>3</v>
      </c>
      <c r="AD84" s="59">
        <f>_xlfn.IFNA(VLOOKUP(Table2[[#This Row],[tee time5]],'Fall FD - groups'!$A$3:$F$20,6,FALSE),"")</f>
        <v>16</v>
      </c>
      <c r="AE84" s="4">
        <f>_xlfn.IFNA(VLOOKUP(Table2[[#This Row],[tee time5]],'Fall FD - groups'!$A$3:$F$20,4,FALSE),"")</f>
        <v>0.17986111111111114</v>
      </c>
      <c r="AF84" s="13">
        <f>IFERROR(MIN(_xlfn.IFNA(VLOOKUP(Table2[[#This Row],[tee time5]],'Fall FD - groups'!$A$3:$F$20,5,FALSE),""),starting_interval + Table2[[#This Row],[round5]] - standard_round_time),"")</f>
        <v>6.9444444444445308E-3</v>
      </c>
      <c r="AG84" s="69">
        <f>IF(AND(Table2[[#This Row],[gap5]]="NA",Table2[[#This Row],[round5]]&lt;4/24),0,IFERROR((MAX(starting_interval,IF(Table2[[#This Row],[gap5]]="NA",Table2[[#This Row],[avg gap]],Table2[[#This Row],[gap5]]))-starting_interval)*Table2[[#This Row],[followers5]]/Table2[[#This Row],[group size5]],""))</f>
        <v>4.6259292692714859E-16</v>
      </c>
      <c r="AH84" s="32">
        <f>_xlfn.IFNA(VLOOKUP(Table2[[#This Row],[Name]],'Stableford - players'!$A$2:$B$65,2,FALSE),"")</f>
        <v>0.4375</v>
      </c>
      <c r="AI84" s="59">
        <f>IF(Table2[[#This Row],[tee time6]]&lt;&gt;"",COUNTIF('Stableford - players'!$B$2:$B$65,"="&amp;Table2[[#This Row],[tee time6]]),"")</f>
        <v>4</v>
      </c>
      <c r="AJ84" s="59">
        <f>_xlfn.IFNA(VLOOKUP(Table2[[#This Row],[tee time6]],'Stableford - groups'!$A$3:$F$20,6,FALSE),"")</f>
        <v>0</v>
      </c>
      <c r="AK84" s="11">
        <f>_xlfn.IFNA(VLOOKUP(Table2[[#This Row],[tee time6]],'Stableford - groups'!$A$3:$F$20,4,FALSE),"")</f>
        <v>0.16875000000000007</v>
      </c>
      <c r="AL84" s="13">
        <f>_xlfn.IFNA(VLOOKUP(Table2[[#This Row],[tee time6]],'Stableford - groups'!$A$3:$F$20,5,FALSE),"")</f>
        <v>4.8611111111112049E-3</v>
      </c>
      <c r="AM84" s="68">
        <f>IF(AND(Table2[[#This Row],[gap6]]="NA",Table2[[#This Row],[round6]]&lt;4/24),0,IFERROR((MAX(starting_interval,IF(Table2[[#This Row],[gap6]]="NA",Table2[[#This Row],[avg gap]],Table2[[#This Row],[gap6]]))-starting_interval)*Table2[[#This Row],[followers6]]/Table2[[#This Row],[group size6]],""))</f>
        <v>0</v>
      </c>
      <c r="AN84" s="32">
        <f>_xlfn.IFNA(VLOOKUP(Table2[[#This Row],[Name]],'Turkey Shoot - players'!$A$2:$B$65,2,FALSE),"")</f>
        <v>0.4236111111111111</v>
      </c>
      <c r="AO84" s="59">
        <f>IF(Table2[[#This Row],[tee time7]]&lt;&gt;"",COUNTIF('Turkey Shoot - players'!$B$2:$B$65,"="&amp;Table2[[#This Row],[tee time7]]),"")</f>
        <v>4</v>
      </c>
      <c r="AP84" s="59">
        <f>_xlfn.IFNA(VLOOKUP(Table2[[#This Row],[tee time7]],'Stableford - groups'!$A$3:$F$20,6,FALSE),"")</f>
        <v>8</v>
      </c>
      <c r="AQ84" s="11">
        <f>_xlfn.IFNA(VLOOKUP(Table2[[#This Row],[tee time7]],'Turkey Shoot - groups'!$A$3:$F$20,4,FALSE),"")</f>
        <v>0.17777777777777776</v>
      </c>
      <c r="AR84" s="13">
        <f>_xlfn.IFNA(VLOOKUP(Table2[[#This Row],[tee time7]],'Turkey Shoot - groups'!$A$3:$F$20,5,FALSE),"")</f>
        <v>3.472222222222222E-3</v>
      </c>
      <c r="AS84" s="68">
        <f>IF(AND(Table2[[#This Row],[gap7]]="NA",Table2[[#This Row],[round7]]&lt;4/24),0,IFERROR((MAX(starting_interval,IF(Table2[[#This Row],[gap7]]="NA",Table2[[#This Row],[avg gap]],Table2[[#This Row],[gap7]]))-starting_interval)*Table2[[#This Row],[followers7]]/Table2[[#This Row],[group size7]],""))</f>
        <v>0</v>
      </c>
      <c r="AT84" s="72">
        <f>COUNT(Table2[[#This Row],[Tee time1]],Table2[[#This Row],[tee time2]],Table2[[#This Row],[tee time3]],Table2[[#This Row],[tee time4]],Table2[[#This Row],[tee time5]],Table2[[#This Row],[tee time6]],Table2[[#This Row],[tee time7]])</f>
        <v>4</v>
      </c>
      <c r="AU84" s="4">
        <f>IFERROR(AVERAGE(Table2[[#This Row],[Tee time1]],Table2[[#This Row],[tee time2]],Table2[[#This Row],[tee time3]],Table2[[#This Row],[tee time4]],Table2[[#This Row],[tee time5]],Table2[[#This Row],[tee time6]],Table2[[#This Row],[tee time7]]),"")</f>
        <v>0.43333333333333335</v>
      </c>
      <c r="AV84" s="11">
        <f>IFERROR(MEDIAN(Table2[[#This Row],[round1]],Table2[[#This Row],[Round2]],Table2[[#This Row],[round3]],Table2[[#This Row],[round4]],Table2[[#This Row],[round5]],Table2[[#This Row],[round6]],Table2[[#This Row],[round7]]),"")</f>
        <v>0.17881944444444445</v>
      </c>
      <c r="AW84" s="11">
        <f>IFERROR(AVERAGE(Table2[[#This Row],[gap1]],Table2[[#This Row],[gap2]],Table2[[#This Row],[gap3]],Table2[[#This Row],[gap4]],Table2[[#This Row],[gap5]],Table2[[#This Row],[gap6]],Table2[[#This Row],[gap7]]),"")</f>
        <v>7.9861111111111695E-3</v>
      </c>
      <c r="AX84" s="9">
        <f>IFERROR((Table2[[#This Row],[avg gap]]-starting_interval)*24*60*Table2[[#This Row],[Count]],"NA")</f>
        <v>6.0000000000003384</v>
      </c>
      <c r="AY8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9.7222222222227376E-3</v>
      </c>
      <c r="AZ84" s="2" t="s">
        <v>487</v>
      </c>
    </row>
    <row r="85" spans="1:52" x14ac:dyDescent="0.3">
      <c r="A85" s="10" t="s">
        <v>3</v>
      </c>
      <c r="B85" s="1" t="s">
        <v>241</v>
      </c>
      <c r="C85" s="19">
        <v>8.3000000000000007</v>
      </c>
      <c r="D85" s="32" t="str">
        <f>_xlfn.IFNA(VLOOKUP(Table2[[#This Row],[Name]],'Classic day 1 - players'!$A$2:$B$64,2,FALSE),"")</f>
        <v/>
      </c>
      <c r="E85" s="33" t="str">
        <f>IF(Table2[[#This Row],[Tee time1]]&lt;&gt;"",COUNTIF('Classic day 1 - players'!$B$2:$B$64,"="&amp;Table2[[#This Row],[Tee time1]]),"")</f>
        <v/>
      </c>
      <c r="F85" s="33" t="str">
        <f>_xlfn.IFNA(VLOOKUP(Table2[[#This Row],[Tee time1]],'Classic day 1 - groups'!$A$3:$F$20,6,FALSE),"")</f>
        <v/>
      </c>
      <c r="G85" s="11" t="str">
        <f>_xlfn.IFNA(VLOOKUP(Table2[[#This Row],[Tee time1]],'Classic day 1 - groups'!$A$3:$F$20,4,FALSE),"")</f>
        <v/>
      </c>
      <c r="H85" s="12" t="str">
        <f>_xlfn.IFNA(VLOOKUP(Table2[[#This Row],[Tee time1]],'Classic day 1 - groups'!$A$3:$F$20,5,FALSE),"")</f>
        <v/>
      </c>
      <c r="I85" s="69" t="str">
        <f>IFERROR((MAX(starting_interval,IF(Table2[[#This Row],[gap1]]="NA",Table2[[#This Row],[avg gap]],Table2[[#This Row],[gap1]]))-starting_interval)*Table2[[#This Row],[followers1]]/Table2[[#This Row],[group size]],"")</f>
        <v/>
      </c>
      <c r="J85" s="32" t="str">
        <f>_xlfn.IFNA(VLOOKUP(Table2[[#This Row],[Name]],'Classic day 2 - players'!$A$2:$B$64,2,FALSE),"")</f>
        <v/>
      </c>
      <c r="K85" s="33" t="str">
        <f>IF(Table2[[#This Row],[tee time2]]&lt;&gt;"",COUNTIF('Classic day 2 - players'!$B$2:$B$64,"="&amp;Table2[[#This Row],[tee time2]]),"")</f>
        <v/>
      </c>
      <c r="L85" s="33" t="str">
        <f>_xlfn.IFNA(VLOOKUP(Table2[[#This Row],[tee time2]],'Classic day 2 - groups'!$A$3:$F$20,6,FALSE),"")</f>
        <v/>
      </c>
      <c r="M85" s="4" t="str">
        <f>_xlfn.IFNA(VLOOKUP(Table2[[#This Row],[tee time2]],'Classic day 2 - groups'!$A$3:$F$20,4,FALSE),"")</f>
        <v/>
      </c>
      <c r="N85" s="65" t="str">
        <f>_xlfn.IFNA(VLOOKUP(Table2[[#This Row],[tee time2]],'Classic day 2 - groups'!$A$3:$F$20,5,FALSE),"")</f>
        <v/>
      </c>
      <c r="O85" s="69" t="str">
        <f>IFERROR((MAX(starting_interval,IF(Table2[[#This Row],[gap2]]="NA",Table2[[#This Row],[avg gap]],Table2[[#This Row],[gap2]]))-starting_interval)*Table2[[#This Row],[followers2]]/Table2[[#This Row],[group size2]],"")</f>
        <v/>
      </c>
      <c r="P85" s="32" t="str">
        <f>_xlfn.IFNA(VLOOKUP(Table2[[#This Row],[Name]],'Summer FD - players'!$A$2:$B$65,2,FALSE),"")</f>
        <v/>
      </c>
      <c r="Q85" s="59" t="str">
        <f>IF(Table2[[#This Row],[tee time3]]&lt;&gt;"",COUNTIF('Summer FD - players'!$B$2:$B$65,"="&amp;Table2[[#This Row],[tee time3]]),"")</f>
        <v/>
      </c>
      <c r="R85" s="59" t="str">
        <f>_xlfn.IFNA(VLOOKUP(Table2[[#This Row],[tee time3]],'Summer FD - groups'!$A$3:$F$20,6,FALSE),"")</f>
        <v/>
      </c>
      <c r="S85" s="4" t="str">
        <f>_xlfn.IFNA(VLOOKUP(Table2[[#This Row],[tee time3]],'Summer FD - groups'!$A$3:$F$20,4,FALSE),"")</f>
        <v/>
      </c>
      <c r="T85" s="13" t="str">
        <f>_xlfn.IFNA(VLOOKUP(Table2[[#This Row],[tee time3]],'Summer FD - groups'!$A$3:$F$20,5,FALSE),"")</f>
        <v/>
      </c>
      <c r="U85" s="69" t="str">
        <f>IF(Table2[[#This Row],[avg gap]]&lt;&gt;"",IFERROR((MAX(starting_interval,IF(Table2[[#This Row],[gap3]]="NA",Table2[[#This Row],[avg gap]],Table2[[#This Row],[gap3]]))-starting_interval)*Table2[[#This Row],[followers3]]/Table2[[#This Row],[group size3]],""),"")</f>
        <v/>
      </c>
      <c r="V85" s="32">
        <f>_xlfn.IFNA(VLOOKUP(Table2[[#This Row],[Name]],'6-6-6 - players'!$A$2:$B$69,2,FALSE),"")</f>
        <v>0.44444444444444442</v>
      </c>
      <c r="W85" s="59">
        <f>IF(Table2[[#This Row],[tee time4]]&lt;&gt;"",COUNTIF('6-6-6 - players'!$B$2:$B$69,"="&amp;Table2[[#This Row],[tee time4]]),"")</f>
        <v>4</v>
      </c>
      <c r="X85" s="59">
        <f>_xlfn.IFNA(VLOOKUP(Table2[[#This Row],[tee time4]],'6-6-6 - groups'!$A$3:$F$20,6,FALSE),"")</f>
        <v>4</v>
      </c>
      <c r="Y85" s="4">
        <f>_xlfn.IFNA(VLOOKUP(Table2[[#This Row],[tee time4]],'6-6-6 - groups'!$A$3:$F$20,4,FALSE),"")</f>
        <v>0.19027777777777782</v>
      </c>
      <c r="Z85" s="13">
        <f>_xlfn.IFNA(VLOOKUP(Table2[[#This Row],[tee time4]],'6-6-6 - groups'!$A$3:$F$20,5,FALSE),"")</f>
        <v>1.6666666666666718E-2</v>
      </c>
      <c r="AA85" s="69">
        <f>IF(Table2[[#This Row],[avg gap]]&lt;&gt;"",IFERROR((MAX(starting_interval,IF(Table2[[#This Row],[gap4]]="NA",Table2[[#This Row],[avg gap]],Table2[[#This Row],[gap4]]))-starting_interval)*Table2[[#This Row],[followers4]]/Table2[[#This Row],[group size4]],""),"")</f>
        <v>9.7222222222222744E-3</v>
      </c>
      <c r="AB85" s="32" t="str">
        <f>_xlfn.IFNA(VLOOKUP(Table2[[#This Row],[Name]],'Fall FD - players'!$A$2:$B$65,2,FALSE),"")</f>
        <v/>
      </c>
      <c r="AC85" s="59" t="str">
        <f>IF(Table2[[#This Row],[tee time5]]&lt;&gt;"",COUNTIF('Fall FD - players'!$B$2:$B$65,"="&amp;Table2[[#This Row],[tee time5]]),"")</f>
        <v/>
      </c>
      <c r="AD85" s="59" t="str">
        <f>_xlfn.IFNA(VLOOKUP(Table2[[#This Row],[tee time5]],'Fall FD - groups'!$A$3:$F$20,6,FALSE),"")</f>
        <v/>
      </c>
      <c r="AE85" s="4" t="str">
        <f>_xlfn.IFNA(VLOOKUP(Table2[[#This Row],[tee time5]],'Fall FD - groups'!$A$3:$F$20,4,FALSE),"")</f>
        <v/>
      </c>
      <c r="AF85" s="13" t="str">
        <f>IFERROR(MIN(_xlfn.IFNA(VLOOKUP(Table2[[#This Row],[tee time5]],'Fall FD - groups'!$A$3:$F$20,5,FALSE),""),starting_interval + Table2[[#This Row],[round5]] - standard_round_time),"")</f>
        <v/>
      </c>
      <c r="AG85" s="69" t="str">
        <f>IF(AND(Table2[[#This Row],[gap5]]="NA",Table2[[#This Row],[round5]]&lt;4/24),0,IFERROR((MAX(starting_interval,IF(Table2[[#This Row],[gap5]]="NA",Table2[[#This Row],[avg gap]],Table2[[#This Row],[gap5]]))-starting_interval)*Table2[[#This Row],[followers5]]/Table2[[#This Row],[group size5]],""))</f>
        <v/>
      </c>
      <c r="AH85" s="32" t="str">
        <f>_xlfn.IFNA(VLOOKUP(Table2[[#This Row],[Name]],'Stableford - players'!$A$2:$B$65,2,FALSE),"")</f>
        <v/>
      </c>
      <c r="AI85" s="59" t="str">
        <f>IF(Table2[[#This Row],[tee time6]]&lt;&gt;"",COUNTIF('Stableford - players'!$B$2:$B$65,"="&amp;Table2[[#This Row],[tee time6]]),"")</f>
        <v/>
      </c>
      <c r="AJ85" s="59" t="str">
        <f>_xlfn.IFNA(VLOOKUP(Table2[[#This Row],[tee time6]],'Stableford - groups'!$A$3:$F$20,6,FALSE),"")</f>
        <v/>
      </c>
      <c r="AK85" s="11" t="str">
        <f>_xlfn.IFNA(VLOOKUP(Table2[[#This Row],[tee time6]],'Stableford - groups'!$A$3:$F$20,4,FALSE),"")</f>
        <v/>
      </c>
      <c r="AL85" s="13" t="str">
        <f>_xlfn.IFNA(VLOOKUP(Table2[[#This Row],[tee time6]],'Stableford - groups'!$A$3:$F$20,5,FALSE),"")</f>
        <v/>
      </c>
      <c r="AM85" s="68" t="str">
        <f>IF(AND(Table2[[#This Row],[gap6]]="NA",Table2[[#This Row],[round6]]&lt;4/24),0,IFERROR((MAX(starting_interval,IF(Table2[[#This Row],[gap6]]="NA",Table2[[#This Row],[avg gap]],Table2[[#This Row],[gap6]]))-starting_interval)*Table2[[#This Row],[followers6]]/Table2[[#This Row],[group size6]],""))</f>
        <v/>
      </c>
      <c r="AN85" s="32" t="str">
        <f>_xlfn.IFNA(VLOOKUP(Table2[[#This Row],[Name]],'Turkey Shoot - players'!$A$2:$B$65,2,FALSE),"")</f>
        <v/>
      </c>
      <c r="AO85" s="59" t="str">
        <f>IF(Table2[[#This Row],[tee time7]]&lt;&gt;"",COUNTIF('Turkey Shoot - players'!$B$2:$B$65,"="&amp;Table2[[#This Row],[tee time7]]),"")</f>
        <v/>
      </c>
      <c r="AP85" s="59" t="str">
        <f>_xlfn.IFNA(VLOOKUP(Table2[[#This Row],[tee time7]],'Stableford - groups'!$A$3:$F$20,6,FALSE),"")</f>
        <v/>
      </c>
      <c r="AQ85" s="11" t="str">
        <f>_xlfn.IFNA(VLOOKUP(Table2[[#This Row],[tee time7]],'Turkey Shoot - groups'!$A$3:$F$20,4,FALSE),"")</f>
        <v/>
      </c>
      <c r="AR85" s="13" t="str">
        <f>_xlfn.IFNA(VLOOKUP(Table2[[#This Row],[tee time7]],'Turkey Shoot - groups'!$A$3:$F$20,5,FALSE),"")</f>
        <v/>
      </c>
      <c r="AS85" s="68" t="str">
        <f>IF(AND(Table2[[#This Row],[gap7]]="NA",Table2[[#This Row],[round7]]&lt;4/24),0,IFERROR((MAX(starting_interval,IF(Table2[[#This Row],[gap7]]="NA",Table2[[#This Row],[avg gap]],Table2[[#This Row],[gap7]]))-starting_interval)*Table2[[#This Row],[followers7]]/Table2[[#This Row],[group size7]],""))</f>
        <v/>
      </c>
      <c r="AT85" s="72">
        <f>COUNT(Table2[[#This Row],[Tee time1]],Table2[[#This Row],[tee time2]],Table2[[#This Row],[tee time3]],Table2[[#This Row],[tee time4]],Table2[[#This Row],[tee time5]],Table2[[#This Row],[tee time6]],Table2[[#This Row],[tee time7]])</f>
        <v>1</v>
      </c>
      <c r="AU85" s="4">
        <f>IFERROR(AVERAGE(Table2[[#This Row],[Tee time1]],Table2[[#This Row],[tee time2]],Table2[[#This Row],[tee time3]],Table2[[#This Row],[tee time4]],Table2[[#This Row],[tee time5]],Table2[[#This Row],[tee time6]],Table2[[#This Row],[tee time7]]),"")</f>
        <v>0.44444444444444442</v>
      </c>
      <c r="AV85" s="11">
        <f>IFERROR(MEDIAN(Table2[[#This Row],[round1]],Table2[[#This Row],[Round2]],Table2[[#This Row],[round3]],Table2[[#This Row],[round4]],Table2[[#This Row],[round5]],Table2[[#This Row],[round6]],Table2[[#This Row],[round7]]),"")</f>
        <v>0.19027777777777782</v>
      </c>
      <c r="AW85" s="11">
        <f>IFERROR(AVERAGE(Table2[[#This Row],[gap1]],Table2[[#This Row],[gap2]],Table2[[#This Row],[gap3]],Table2[[#This Row],[gap4]],Table2[[#This Row],[gap5]],Table2[[#This Row],[gap6]],Table2[[#This Row],[gap7]]),"")</f>
        <v>1.6666666666666718E-2</v>
      </c>
      <c r="AX85" s="9">
        <f>IFERROR((Table2[[#This Row],[avg gap]]-starting_interval)*24*60*Table2[[#This Row],[Count]],"NA")</f>
        <v>14.000000000000075</v>
      </c>
      <c r="AY8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9.7222222222222744E-3</v>
      </c>
      <c r="AZ85" s="2" t="s">
        <v>487</v>
      </c>
    </row>
    <row r="86" spans="1:52" x14ac:dyDescent="0.3">
      <c r="A86" s="10" t="s">
        <v>79</v>
      </c>
      <c r="B86" s="1" t="s">
        <v>318</v>
      </c>
      <c r="C86" s="19">
        <v>17.5</v>
      </c>
      <c r="D86" s="32">
        <f>_xlfn.IFNA(VLOOKUP(Table2[[#This Row],[Name]],'Classic day 1 - players'!$A$2:$B$64,2,FALSE),"")</f>
        <v>0.40833333333333338</v>
      </c>
      <c r="E86" s="33">
        <f>IF(Table2[[#This Row],[Tee time1]]&lt;&gt;"",COUNTIF('Classic day 1 - players'!$B$2:$B$64,"="&amp;Table2[[#This Row],[Tee time1]]),"")</f>
        <v>3</v>
      </c>
      <c r="F86" s="33">
        <f>_xlfn.IFNA(VLOOKUP(Table2[[#This Row],[Tee time1]],'Classic day 1 - groups'!$A$3:$F$20,6,FALSE),"")</f>
        <v>20</v>
      </c>
      <c r="G86" s="11">
        <f>_xlfn.IFNA(VLOOKUP(Table2[[#This Row],[Tee time1]],'Classic day 1 - groups'!$A$3:$F$20,4,FALSE),"")</f>
        <v>0.2055555555555556</v>
      </c>
      <c r="H86" s="12">
        <f>_xlfn.IFNA(VLOOKUP(Table2[[#This Row],[Tee time1]],'Classic day 1 - groups'!$A$3:$F$20,5,FALSE),"")</f>
        <v>4.8611111111112049E-3</v>
      </c>
      <c r="I86" s="69">
        <f>IFERROR((MAX(starting_interval,IF(Table2[[#This Row],[gap1]]="NA",Table2[[#This Row],[avg gap]],Table2[[#This Row],[gap1]]))-starting_interval)*Table2[[#This Row],[followers1]]/Table2[[#This Row],[group size]],"")</f>
        <v>0</v>
      </c>
      <c r="J86" s="32">
        <f>_xlfn.IFNA(VLOOKUP(Table2[[#This Row],[Name]],'Classic day 2 - players'!$A$2:$B$64,2,FALSE),"")</f>
        <v>0.3833333333333333</v>
      </c>
      <c r="K86" s="33">
        <f>IF(Table2[[#This Row],[tee time2]]&lt;&gt;"",COUNTIF('Classic day 2 - players'!$B$2:$B$64,"="&amp;Table2[[#This Row],[tee time2]]),"")</f>
        <v>4</v>
      </c>
      <c r="L86" s="33">
        <f>_xlfn.IFNA(VLOOKUP(Table2[[#This Row],[tee time2]],'Classic day 2 - groups'!$A$3:$F$20,6,FALSE),"")</f>
        <v>20</v>
      </c>
      <c r="M86" s="4">
        <f>_xlfn.IFNA(VLOOKUP(Table2[[#This Row],[tee time2]],'Classic day 2 - groups'!$A$3:$F$20,4,FALSE),"")</f>
        <v>0.18888888888888888</v>
      </c>
      <c r="N86" s="65">
        <f>_xlfn.IFNA(VLOOKUP(Table2[[#This Row],[tee time2]],'Classic day 2 - groups'!$A$3:$F$20,5,FALSE),"")</f>
        <v>6.2499999999999995E-3</v>
      </c>
      <c r="O86" s="69">
        <f>IFERROR((MAX(starting_interval,IF(Table2[[#This Row],[gap2]]="NA",Table2[[#This Row],[avg gap]],Table2[[#This Row],[gap2]]))-starting_interval)*Table2[[#This Row],[followers2]]/Table2[[#This Row],[group size2]],"")</f>
        <v>0</v>
      </c>
      <c r="P86" s="32" t="str">
        <f>_xlfn.IFNA(VLOOKUP(Table2[[#This Row],[Name]],'Summer FD - players'!$A$2:$B$65,2,FALSE),"")</f>
        <v/>
      </c>
      <c r="Q86" s="59" t="str">
        <f>IF(Table2[[#This Row],[tee time3]]&lt;&gt;"",COUNTIF('Summer FD - players'!$B$2:$B$65,"="&amp;Table2[[#This Row],[tee time3]]),"")</f>
        <v/>
      </c>
      <c r="R86" s="59" t="str">
        <f>_xlfn.IFNA(VLOOKUP(Table2[[#This Row],[tee time3]],'Summer FD - groups'!$A$3:$F$20,6,FALSE),"")</f>
        <v/>
      </c>
      <c r="S86" s="4" t="str">
        <f>_xlfn.IFNA(VLOOKUP(Table2[[#This Row],[tee time3]],'Summer FD - groups'!$A$3:$F$20,4,FALSE),"")</f>
        <v/>
      </c>
      <c r="T86" s="13" t="str">
        <f>_xlfn.IFNA(VLOOKUP(Table2[[#This Row],[tee time3]],'Summer FD - groups'!$A$3:$F$20,5,FALSE),"")</f>
        <v/>
      </c>
      <c r="U86" s="69" t="str">
        <f>IF(Table2[[#This Row],[avg gap]]&lt;&gt;"",IFERROR((MAX(starting_interval,IF(Table2[[#This Row],[gap3]]="NA",Table2[[#This Row],[avg gap]],Table2[[#This Row],[gap3]]))-starting_interval)*Table2[[#This Row],[followers3]]/Table2[[#This Row],[group size3]],""),"")</f>
        <v/>
      </c>
      <c r="V86" s="32">
        <f>_xlfn.IFNA(VLOOKUP(Table2[[#This Row],[Name]],'6-6-6 - players'!$A$2:$B$69,2,FALSE),"")</f>
        <v>0.44444444444444442</v>
      </c>
      <c r="W86" s="59">
        <f>IF(Table2[[#This Row],[tee time4]]&lt;&gt;"",COUNTIF('6-6-6 - players'!$B$2:$B$69,"="&amp;Table2[[#This Row],[tee time4]]),"")</f>
        <v>4</v>
      </c>
      <c r="X86" s="59">
        <f>_xlfn.IFNA(VLOOKUP(Table2[[#This Row],[tee time4]],'6-6-6 - groups'!$A$3:$F$20,6,FALSE),"")</f>
        <v>4</v>
      </c>
      <c r="Y86" s="4">
        <f>_xlfn.IFNA(VLOOKUP(Table2[[#This Row],[tee time4]],'6-6-6 - groups'!$A$3:$F$20,4,FALSE),"")</f>
        <v>0.19027777777777782</v>
      </c>
      <c r="Z86" s="13">
        <f>_xlfn.IFNA(VLOOKUP(Table2[[#This Row],[tee time4]],'6-6-6 - groups'!$A$3:$F$20,5,FALSE),"")</f>
        <v>1.6666666666666718E-2</v>
      </c>
      <c r="AA86" s="69">
        <f>IF(Table2[[#This Row],[avg gap]]&lt;&gt;"",IFERROR((MAX(starting_interval,IF(Table2[[#This Row],[gap4]]="NA",Table2[[#This Row],[avg gap]],Table2[[#This Row],[gap4]]))-starting_interval)*Table2[[#This Row],[followers4]]/Table2[[#This Row],[group size4]],""),"")</f>
        <v>9.7222222222222744E-3</v>
      </c>
      <c r="AB86" s="32" t="str">
        <f>_xlfn.IFNA(VLOOKUP(Table2[[#This Row],[Name]],'Fall FD - players'!$A$2:$B$65,2,FALSE),"")</f>
        <v/>
      </c>
      <c r="AC86" s="59" t="str">
        <f>IF(Table2[[#This Row],[tee time5]]&lt;&gt;"",COUNTIF('Fall FD - players'!$B$2:$B$65,"="&amp;Table2[[#This Row],[tee time5]]),"")</f>
        <v/>
      </c>
      <c r="AD86" s="59" t="str">
        <f>_xlfn.IFNA(VLOOKUP(Table2[[#This Row],[tee time5]],'Fall FD - groups'!$A$3:$F$20,6,FALSE),"")</f>
        <v/>
      </c>
      <c r="AE86" s="4" t="str">
        <f>_xlfn.IFNA(VLOOKUP(Table2[[#This Row],[tee time5]],'Fall FD - groups'!$A$3:$F$20,4,FALSE),"")</f>
        <v/>
      </c>
      <c r="AF86" s="13" t="str">
        <f>IFERROR(MIN(_xlfn.IFNA(VLOOKUP(Table2[[#This Row],[tee time5]],'Fall FD - groups'!$A$3:$F$20,5,FALSE),""),starting_interval + Table2[[#This Row],[round5]] - standard_round_time),"")</f>
        <v/>
      </c>
      <c r="AG86" s="69" t="str">
        <f>IF(AND(Table2[[#This Row],[gap5]]="NA",Table2[[#This Row],[round5]]&lt;4/24),0,IFERROR((MAX(starting_interval,IF(Table2[[#This Row],[gap5]]="NA",Table2[[#This Row],[avg gap]],Table2[[#This Row],[gap5]]))-starting_interval)*Table2[[#This Row],[followers5]]/Table2[[#This Row],[group size5]],""))</f>
        <v/>
      </c>
      <c r="AH86" s="32" t="str">
        <f>_xlfn.IFNA(VLOOKUP(Table2[[#This Row],[Name]],'Stableford - players'!$A$2:$B$65,2,FALSE),"")</f>
        <v/>
      </c>
      <c r="AI86" s="59" t="str">
        <f>IF(Table2[[#This Row],[tee time6]]&lt;&gt;"",COUNTIF('Stableford - players'!$B$2:$B$65,"="&amp;Table2[[#This Row],[tee time6]]),"")</f>
        <v/>
      </c>
      <c r="AJ86" s="59" t="str">
        <f>_xlfn.IFNA(VLOOKUP(Table2[[#This Row],[tee time6]],'Stableford - groups'!$A$3:$F$20,6,FALSE),"")</f>
        <v/>
      </c>
      <c r="AK86" s="11" t="str">
        <f>_xlfn.IFNA(VLOOKUP(Table2[[#This Row],[tee time6]],'Stableford - groups'!$A$3:$F$20,4,FALSE),"")</f>
        <v/>
      </c>
      <c r="AL86" s="13" t="str">
        <f>_xlfn.IFNA(VLOOKUP(Table2[[#This Row],[tee time6]],'Stableford - groups'!$A$3:$F$20,5,FALSE),"")</f>
        <v/>
      </c>
      <c r="AM86" s="68" t="str">
        <f>IF(AND(Table2[[#This Row],[gap6]]="NA",Table2[[#This Row],[round6]]&lt;4/24),0,IFERROR((MAX(starting_interval,IF(Table2[[#This Row],[gap6]]="NA",Table2[[#This Row],[avg gap]],Table2[[#This Row],[gap6]]))-starting_interval)*Table2[[#This Row],[followers6]]/Table2[[#This Row],[group size6]],""))</f>
        <v/>
      </c>
      <c r="AN86" s="32" t="str">
        <f>_xlfn.IFNA(VLOOKUP(Table2[[#This Row],[Name]],'Turkey Shoot - players'!$A$2:$B$65,2,FALSE),"")</f>
        <v/>
      </c>
      <c r="AO86" s="59" t="str">
        <f>IF(Table2[[#This Row],[tee time7]]&lt;&gt;"",COUNTIF('Turkey Shoot - players'!$B$2:$B$65,"="&amp;Table2[[#This Row],[tee time7]]),"")</f>
        <v/>
      </c>
      <c r="AP86" s="59" t="str">
        <f>_xlfn.IFNA(VLOOKUP(Table2[[#This Row],[tee time7]],'Stableford - groups'!$A$3:$F$20,6,FALSE),"")</f>
        <v/>
      </c>
      <c r="AQ86" s="11" t="str">
        <f>_xlfn.IFNA(VLOOKUP(Table2[[#This Row],[tee time7]],'Turkey Shoot - groups'!$A$3:$F$20,4,FALSE),"")</f>
        <v/>
      </c>
      <c r="AR86" s="13" t="str">
        <f>_xlfn.IFNA(VLOOKUP(Table2[[#This Row],[tee time7]],'Turkey Shoot - groups'!$A$3:$F$20,5,FALSE),"")</f>
        <v/>
      </c>
      <c r="AS86" s="68" t="str">
        <f>IF(AND(Table2[[#This Row],[gap7]]="NA",Table2[[#This Row],[round7]]&lt;4/24),0,IFERROR((MAX(starting_interval,IF(Table2[[#This Row],[gap7]]="NA",Table2[[#This Row],[avg gap]],Table2[[#This Row],[gap7]]))-starting_interval)*Table2[[#This Row],[followers7]]/Table2[[#This Row],[group size7]],""))</f>
        <v/>
      </c>
      <c r="AT86" s="72">
        <f>COUNT(Table2[[#This Row],[Tee time1]],Table2[[#This Row],[tee time2]],Table2[[#This Row],[tee time3]],Table2[[#This Row],[tee time4]],Table2[[#This Row],[tee time5]],Table2[[#This Row],[tee time6]],Table2[[#This Row],[tee time7]])</f>
        <v>3</v>
      </c>
      <c r="AU86" s="4">
        <f>IFERROR(AVERAGE(Table2[[#This Row],[Tee time1]],Table2[[#This Row],[tee time2]],Table2[[#This Row],[tee time3]],Table2[[#This Row],[tee time4]],Table2[[#This Row],[tee time5]],Table2[[#This Row],[tee time6]],Table2[[#This Row],[tee time7]]),"")</f>
        <v>0.41203703703703703</v>
      </c>
      <c r="AV86" s="11">
        <f>IFERROR(MEDIAN(Table2[[#This Row],[round1]],Table2[[#This Row],[Round2]],Table2[[#This Row],[round3]],Table2[[#This Row],[round4]],Table2[[#This Row],[round5]],Table2[[#This Row],[round6]],Table2[[#This Row],[round7]]),"")</f>
        <v>0.19027777777777782</v>
      </c>
      <c r="AW86" s="11">
        <f>IFERROR(AVERAGE(Table2[[#This Row],[gap1]],Table2[[#This Row],[gap2]],Table2[[#This Row],[gap3]],Table2[[#This Row],[gap4]],Table2[[#This Row],[gap5]],Table2[[#This Row],[gap6]],Table2[[#This Row],[gap7]]),"")</f>
        <v>9.2592592592593073E-3</v>
      </c>
      <c r="AX86" s="9">
        <f>IFERROR((Table2[[#This Row],[avg gap]]-starting_interval)*24*60*Table2[[#This Row],[Count]],"NA")</f>
        <v>10.00000000000021</v>
      </c>
      <c r="AY8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9.7222222222222744E-3</v>
      </c>
      <c r="AZ86" s="2" t="s">
        <v>487</v>
      </c>
    </row>
    <row r="87" spans="1:52" x14ac:dyDescent="0.3">
      <c r="A87" s="10" t="s">
        <v>172</v>
      </c>
      <c r="B87" s="1" t="s">
        <v>413</v>
      </c>
      <c r="C87" s="19">
        <v>7.6</v>
      </c>
      <c r="D87" s="32" t="str">
        <f>_xlfn.IFNA(VLOOKUP(Table2[[#This Row],[Name]],'Classic day 1 - players'!$A$2:$B$64,2,FALSE),"")</f>
        <v/>
      </c>
      <c r="E87" s="33" t="str">
        <f>IF(Table2[[#This Row],[Tee time1]]&lt;&gt;"",COUNTIF('Classic day 1 - players'!$B$2:$B$64,"="&amp;Table2[[#This Row],[Tee time1]]),"")</f>
        <v/>
      </c>
      <c r="F87" s="33" t="str">
        <f>_xlfn.IFNA(VLOOKUP(Table2[[#This Row],[Tee time1]],'Classic day 1 - groups'!$A$3:$F$20,6,FALSE),"")</f>
        <v/>
      </c>
      <c r="G87" s="11" t="str">
        <f>_xlfn.IFNA(VLOOKUP(Table2[[#This Row],[Tee time1]],'Classic day 1 - groups'!$A$3:$F$20,4,FALSE),"")</f>
        <v/>
      </c>
      <c r="H87" s="12" t="str">
        <f>_xlfn.IFNA(VLOOKUP(Table2[[#This Row],[Tee time1]],'Classic day 1 - groups'!$A$3:$F$20,5,FALSE),"")</f>
        <v/>
      </c>
      <c r="I87" s="69" t="str">
        <f>IFERROR((MAX(starting_interval,IF(Table2[[#This Row],[gap1]]="NA",Table2[[#This Row],[avg gap]],Table2[[#This Row],[gap1]]))-starting_interval)*Table2[[#This Row],[followers1]]/Table2[[#This Row],[group size]],"")</f>
        <v/>
      </c>
      <c r="J87" s="32" t="str">
        <f>_xlfn.IFNA(VLOOKUP(Table2[[#This Row],[Name]],'Classic day 2 - players'!$A$2:$B$64,2,FALSE),"")</f>
        <v/>
      </c>
      <c r="K87" s="33" t="str">
        <f>IF(Table2[[#This Row],[tee time2]]&lt;&gt;"",COUNTIF('Classic day 2 - players'!$B$2:$B$64,"="&amp;Table2[[#This Row],[tee time2]]),"")</f>
        <v/>
      </c>
      <c r="L87" s="33" t="str">
        <f>_xlfn.IFNA(VLOOKUP(Table2[[#This Row],[tee time2]],'Classic day 2 - groups'!$A$3:$F$20,6,FALSE),"")</f>
        <v/>
      </c>
      <c r="M87" s="4" t="str">
        <f>_xlfn.IFNA(VLOOKUP(Table2[[#This Row],[tee time2]],'Classic day 2 - groups'!$A$3:$F$20,4,FALSE),"")</f>
        <v/>
      </c>
      <c r="N87" s="65" t="str">
        <f>_xlfn.IFNA(VLOOKUP(Table2[[#This Row],[tee time2]],'Classic day 2 - groups'!$A$3:$F$20,5,FALSE),"")</f>
        <v/>
      </c>
      <c r="O87" s="69" t="str">
        <f>IFERROR((MAX(starting_interval,IF(Table2[[#This Row],[gap2]]="NA",Table2[[#This Row],[avg gap]],Table2[[#This Row],[gap2]]))-starting_interval)*Table2[[#This Row],[followers2]]/Table2[[#This Row],[group size2]],"")</f>
        <v/>
      </c>
      <c r="P87" s="32" t="str">
        <f>_xlfn.IFNA(VLOOKUP(Table2[[#This Row],[Name]],'Summer FD - players'!$A$2:$B$65,2,FALSE),"")</f>
        <v/>
      </c>
      <c r="Q87" s="59" t="str">
        <f>IF(Table2[[#This Row],[tee time3]]&lt;&gt;"",COUNTIF('Summer FD - players'!$B$2:$B$65,"="&amp;Table2[[#This Row],[tee time3]]),"")</f>
        <v/>
      </c>
      <c r="R87" s="59" t="str">
        <f>_xlfn.IFNA(VLOOKUP(Table2[[#This Row],[tee time3]],'Summer FD - groups'!$A$3:$F$20,6,FALSE),"")</f>
        <v/>
      </c>
      <c r="S87" s="4" t="str">
        <f>_xlfn.IFNA(VLOOKUP(Table2[[#This Row],[tee time3]],'Summer FD - groups'!$A$3:$F$20,4,FALSE),"")</f>
        <v/>
      </c>
      <c r="T87" s="13" t="str">
        <f>_xlfn.IFNA(VLOOKUP(Table2[[#This Row],[tee time3]],'Summer FD - groups'!$A$3:$F$20,5,FALSE),"")</f>
        <v/>
      </c>
      <c r="U87" s="69" t="str">
        <f>IF(Table2[[#This Row],[avg gap]]&lt;&gt;"",IFERROR((MAX(starting_interval,IF(Table2[[#This Row],[gap3]]="NA",Table2[[#This Row],[avg gap]],Table2[[#This Row],[gap3]]))-starting_interval)*Table2[[#This Row],[followers3]]/Table2[[#This Row],[group size3]],""),"")</f>
        <v/>
      </c>
      <c r="V87" s="32">
        <f>_xlfn.IFNA(VLOOKUP(Table2[[#This Row],[Name]],'6-6-6 - players'!$A$2:$B$69,2,FALSE),"")</f>
        <v>0.44444444444444442</v>
      </c>
      <c r="W87" s="59">
        <f>IF(Table2[[#This Row],[tee time4]]&lt;&gt;"",COUNTIF('6-6-6 - players'!$B$2:$B$69,"="&amp;Table2[[#This Row],[tee time4]]),"")</f>
        <v>4</v>
      </c>
      <c r="X87" s="59">
        <f>_xlfn.IFNA(VLOOKUP(Table2[[#This Row],[tee time4]],'6-6-6 - groups'!$A$3:$F$20,6,FALSE),"")</f>
        <v>4</v>
      </c>
      <c r="Y87" s="4">
        <f>_xlfn.IFNA(VLOOKUP(Table2[[#This Row],[tee time4]],'6-6-6 - groups'!$A$3:$F$20,4,FALSE),"")</f>
        <v>0.19027777777777782</v>
      </c>
      <c r="Z87" s="13">
        <f>_xlfn.IFNA(VLOOKUP(Table2[[#This Row],[tee time4]],'6-6-6 - groups'!$A$3:$F$20,5,FALSE),"")</f>
        <v>1.6666666666666718E-2</v>
      </c>
      <c r="AA87" s="69">
        <f>IF(Table2[[#This Row],[avg gap]]&lt;&gt;"",IFERROR((MAX(starting_interval,IF(Table2[[#This Row],[gap4]]="NA",Table2[[#This Row],[avg gap]],Table2[[#This Row],[gap4]]))-starting_interval)*Table2[[#This Row],[followers4]]/Table2[[#This Row],[group size4]],""),"")</f>
        <v>9.7222222222222744E-3</v>
      </c>
      <c r="AB87" s="32" t="str">
        <f>_xlfn.IFNA(VLOOKUP(Table2[[#This Row],[Name]],'Fall FD - players'!$A$2:$B$65,2,FALSE),"")</f>
        <v/>
      </c>
      <c r="AC87" s="59" t="str">
        <f>IF(Table2[[#This Row],[tee time5]]&lt;&gt;"",COUNTIF('Fall FD - players'!$B$2:$B$65,"="&amp;Table2[[#This Row],[tee time5]]),"")</f>
        <v/>
      </c>
      <c r="AD87" s="59" t="str">
        <f>_xlfn.IFNA(VLOOKUP(Table2[[#This Row],[tee time5]],'Fall FD - groups'!$A$3:$F$20,6,FALSE),"")</f>
        <v/>
      </c>
      <c r="AE87" s="4" t="str">
        <f>_xlfn.IFNA(VLOOKUP(Table2[[#This Row],[tee time5]],'Fall FD - groups'!$A$3:$F$20,4,FALSE),"")</f>
        <v/>
      </c>
      <c r="AF87" s="13" t="str">
        <f>IFERROR(MIN(_xlfn.IFNA(VLOOKUP(Table2[[#This Row],[tee time5]],'Fall FD - groups'!$A$3:$F$20,5,FALSE),""),starting_interval + Table2[[#This Row],[round5]] - standard_round_time),"")</f>
        <v/>
      </c>
      <c r="AG87" s="69" t="str">
        <f>IF(AND(Table2[[#This Row],[gap5]]="NA",Table2[[#This Row],[round5]]&lt;4/24),0,IFERROR((MAX(starting_interval,IF(Table2[[#This Row],[gap5]]="NA",Table2[[#This Row],[avg gap]],Table2[[#This Row],[gap5]]))-starting_interval)*Table2[[#This Row],[followers5]]/Table2[[#This Row],[group size5]],""))</f>
        <v/>
      </c>
      <c r="AH87" s="32">
        <f>_xlfn.IFNA(VLOOKUP(Table2[[#This Row],[Name]],'Stableford - players'!$A$2:$B$65,2,FALSE),"")</f>
        <v>0.4375</v>
      </c>
      <c r="AI87" s="59">
        <f>IF(Table2[[#This Row],[tee time6]]&lt;&gt;"",COUNTIF('Stableford - players'!$B$2:$B$65,"="&amp;Table2[[#This Row],[tee time6]]),"")</f>
        <v>4</v>
      </c>
      <c r="AJ87" s="59">
        <f>_xlfn.IFNA(VLOOKUP(Table2[[#This Row],[tee time6]],'Stableford - groups'!$A$3:$F$20,6,FALSE),"")</f>
        <v>0</v>
      </c>
      <c r="AK87" s="11">
        <f>_xlfn.IFNA(VLOOKUP(Table2[[#This Row],[tee time6]],'Stableford - groups'!$A$3:$F$20,4,FALSE),"")</f>
        <v>0.16875000000000007</v>
      </c>
      <c r="AL87" s="13">
        <f>_xlfn.IFNA(VLOOKUP(Table2[[#This Row],[tee time6]],'Stableford - groups'!$A$3:$F$20,5,FALSE),"")</f>
        <v>4.8611111111112049E-3</v>
      </c>
      <c r="AM87" s="68">
        <f>IF(AND(Table2[[#This Row],[gap6]]="NA",Table2[[#This Row],[round6]]&lt;4/24),0,IFERROR((MAX(starting_interval,IF(Table2[[#This Row],[gap6]]="NA",Table2[[#This Row],[avg gap]],Table2[[#This Row],[gap6]]))-starting_interval)*Table2[[#This Row],[followers6]]/Table2[[#This Row],[group size6]],""))</f>
        <v>0</v>
      </c>
      <c r="AN87" s="32">
        <f>_xlfn.IFNA(VLOOKUP(Table2[[#This Row],[Name]],'Turkey Shoot - players'!$A$2:$B$65,2,FALSE),"")</f>
        <v>0.4236111111111111</v>
      </c>
      <c r="AO87" s="59">
        <f>IF(Table2[[#This Row],[tee time7]]&lt;&gt;"",COUNTIF('Turkey Shoot - players'!$B$2:$B$65,"="&amp;Table2[[#This Row],[tee time7]]),"")</f>
        <v>4</v>
      </c>
      <c r="AP87" s="59">
        <f>_xlfn.IFNA(VLOOKUP(Table2[[#This Row],[tee time7]],'Stableford - groups'!$A$3:$F$20,6,FALSE),"")</f>
        <v>8</v>
      </c>
      <c r="AQ87" s="11">
        <f>_xlfn.IFNA(VLOOKUP(Table2[[#This Row],[tee time7]],'Turkey Shoot - groups'!$A$3:$F$20,4,FALSE),"")</f>
        <v>0.17777777777777776</v>
      </c>
      <c r="AR87" s="13">
        <f>_xlfn.IFNA(VLOOKUP(Table2[[#This Row],[tee time7]],'Turkey Shoot - groups'!$A$3:$F$20,5,FALSE),"")</f>
        <v>3.472222222222222E-3</v>
      </c>
      <c r="AS87" s="68">
        <f>IF(AND(Table2[[#This Row],[gap7]]="NA",Table2[[#This Row],[round7]]&lt;4/24),0,IFERROR((MAX(starting_interval,IF(Table2[[#This Row],[gap7]]="NA",Table2[[#This Row],[avg gap]],Table2[[#This Row],[gap7]]))-starting_interval)*Table2[[#This Row],[followers7]]/Table2[[#This Row],[group size7]],""))</f>
        <v>0</v>
      </c>
      <c r="AT87" s="72">
        <f>COUNT(Table2[[#This Row],[Tee time1]],Table2[[#This Row],[tee time2]],Table2[[#This Row],[tee time3]],Table2[[#This Row],[tee time4]],Table2[[#This Row],[tee time5]],Table2[[#This Row],[tee time6]],Table2[[#This Row],[tee time7]])</f>
        <v>3</v>
      </c>
      <c r="AU87" s="4">
        <f>IFERROR(AVERAGE(Table2[[#This Row],[Tee time1]],Table2[[#This Row],[tee time2]],Table2[[#This Row],[tee time3]],Table2[[#This Row],[tee time4]],Table2[[#This Row],[tee time5]],Table2[[#This Row],[tee time6]],Table2[[#This Row],[tee time7]]),"")</f>
        <v>0.43518518518518517</v>
      </c>
      <c r="AV87" s="11">
        <f>IFERROR(MEDIAN(Table2[[#This Row],[round1]],Table2[[#This Row],[Round2]],Table2[[#This Row],[round3]],Table2[[#This Row],[round4]],Table2[[#This Row],[round5]],Table2[[#This Row],[round6]],Table2[[#This Row],[round7]]),"")</f>
        <v>0.17777777777777776</v>
      </c>
      <c r="AW87" s="11">
        <f>IFERROR(AVERAGE(Table2[[#This Row],[gap1]],Table2[[#This Row],[gap2]],Table2[[#This Row],[gap3]],Table2[[#This Row],[gap4]],Table2[[#This Row],[gap5]],Table2[[#This Row],[gap6]],Table2[[#This Row],[gap7]]),"")</f>
        <v>8.3333333333333818E-3</v>
      </c>
      <c r="AX87" s="9">
        <f>IFERROR((Table2[[#This Row],[avg gap]]-starting_interval)*24*60*Table2[[#This Row],[Count]],"NA")</f>
        <v>6.0000000000002105</v>
      </c>
      <c r="AY8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9.7222222222222744E-3</v>
      </c>
      <c r="AZ87" s="2" t="s">
        <v>487</v>
      </c>
    </row>
    <row r="88" spans="1:52" x14ac:dyDescent="0.3">
      <c r="A88" s="10" t="s">
        <v>95</v>
      </c>
      <c r="B88" s="1" t="s">
        <v>334</v>
      </c>
      <c r="C88" s="19">
        <v>11.4</v>
      </c>
      <c r="D88" s="32" t="str">
        <f>_xlfn.IFNA(VLOOKUP(Table2[[#This Row],[Name]],'Classic day 1 - players'!$A$2:$B$64,2,FALSE),"")</f>
        <v/>
      </c>
      <c r="E88" s="33" t="str">
        <f>IF(Table2[[#This Row],[Tee time1]]&lt;&gt;"",COUNTIF('Classic day 1 - players'!$B$2:$B$64,"="&amp;Table2[[#This Row],[Tee time1]]),"")</f>
        <v/>
      </c>
      <c r="F88" s="33" t="str">
        <f>_xlfn.IFNA(VLOOKUP(Table2[[#This Row],[Tee time1]],'Classic day 1 - groups'!$A$3:$F$20,6,FALSE),"")</f>
        <v/>
      </c>
      <c r="G88" s="11" t="str">
        <f>_xlfn.IFNA(VLOOKUP(Table2[[#This Row],[Tee time1]],'Classic day 1 - groups'!$A$3:$F$20,4,FALSE),"")</f>
        <v/>
      </c>
      <c r="H88" s="12" t="str">
        <f>_xlfn.IFNA(VLOOKUP(Table2[[#This Row],[Tee time1]],'Classic day 1 - groups'!$A$3:$F$20,5,FALSE),"")</f>
        <v/>
      </c>
      <c r="I88" s="69" t="str">
        <f>IFERROR((MAX(starting_interval,IF(Table2[[#This Row],[gap1]]="NA",Table2[[#This Row],[avg gap]],Table2[[#This Row],[gap1]]))-starting_interval)*Table2[[#This Row],[followers1]]/Table2[[#This Row],[group size]],"")</f>
        <v/>
      </c>
      <c r="J88" s="32" t="str">
        <f>_xlfn.IFNA(VLOOKUP(Table2[[#This Row],[Name]],'Classic day 2 - players'!$A$2:$B$64,2,FALSE),"")</f>
        <v/>
      </c>
      <c r="K88" s="33" t="str">
        <f>IF(Table2[[#This Row],[tee time2]]&lt;&gt;"",COUNTIF('Classic day 2 - players'!$B$2:$B$64,"="&amp;Table2[[#This Row],[tee time2]]),"")</f>
        <v/>
      </c>
      <c r="L88" s="33" t="str">
        <f>_xlfn.IFNA(VLOOKUP(Table2[[#This Row],[tee time2]],'Classic day 2 - groups'!$A$3:$F$20,6,FALSE),"")</f>
        <v/>
      </c>
      <c r="M88" s="4" t="str">
        <f>_xlfn.IFNA(VLOOKUP(Table2[[#This Row],[tee time2]],'Classic day 2 - groups'!$A$3:$F$20,4,FALSE),"")</f>
        <v/>
      </c>
      <c r="N88" s="65" t="str">
        <f>_xlfn.IFNA(VLOOKUP(Table2[[#This Row],[tee time2]],'Classic day 2 - groups'!$A$3:$F$20,5,FALSE),"")</f>
        <v/>
      </c>
      <c r="O88" s="69" t="str">
        <f>IFERROR((MAX(starting_interval,IF(Table2[[#This Row],[gap2]]="NA",Table2[[#This Row],[avg gap]],Table2[[#This Row],[gap2]]))-starting_interval)*Table2[[#This Row],[followers2]]/Table2[[#This Row],[group size2]],"")</f>
        <v/>
      </c>
      <c r="P88" s="32">
        <f>_xlfn.IFNA(VLOOKUP(Table2[[#This Row],[Name]],'Summer FD - players'!$A$2:$B$65,2,FALSE),"")</f>
        <v>0.43333333333333335</v>
      </c>
      <c r="Q88" s="59">
        <f>IF(Table2[[#This Row],[tee time3]]&lt;&gt;"",COUNTIF('Summer FD - players'!$B$2:$B$65,"="&amp;Table2[[#This Row],[tee time3]]),"")</f>
        <v>3</v>
      </c>
      <c r="R88" s="59">
        <f>_xlfn.IFNA(VLOOKUP(Table2[[#This Row],[tee time3]],'Summer FD - groups'!$A$3:$F$20,6,FALSE),"")</f>
        <v>4</v>
      </c>
      <c r="S88" s="4">
        <f>_xlfn.IFNA(VLOOKUP(Table2[[#This Row],[tee time3]],'Summer FD - groups'!$A$3:$F$20,4,FALSE),"")</f>
        <v>0.19444444444444442</v>
      </c>
      <c r="T88" s="13">
        <f>_xlfn.IFNA(VLOOKUP(Table2[[#This Row],[tee time3]],'Summer FD - groups'!$A$3:$F$20,5,FALSE),"")</f>
        <v>4.8611111111110938E-3</v>
      </c>
      <c r="U88" s="69">
        <f>IF(Table2[[#This Row],[avg gap]]&lt;&gt;"",IFERROR((MAX(starting_interval,IF(Table2[[#This Row],[gap3]]="NA",Table2[[#This Row],[avg gap]],Table2[[#This Row],[gap3]]))-starting_interval)*Table2[[#This Row],[followers3]]/Table2[[#This Row],[group size3]],""),"")</f>
        <v>0</v>
      </c>
      <c r="V88" s="32">
        <f>_xlfn.IFNA(VLOOKUP(Table2[[#This Row],[Name]],'6-6-6 - players'!$A$2:$B$69,2,FALSE),"")</f>
        <v>0.3888888888888889</v>
      </c>
      <c r="W88" s="59">
        <f>IF(Table2[[#This Row],[tee time4]]&lt;&gt;"",COUNTIF('6-6-6 - players'!$B$2:$B$69,"="&amp;Table2[[#This Row],[tee time4]]),"")</f>
        <v>4</v>
      </c>
      <c r="X88" s="59">
        <f>_xlfn.IFNA(VLOOKUP(Table2[[#This Row],[tee time4]],'6-6-6 - groups'!$A$3:$F$20,6,FALSE),"")</f>
        <v>36</v>
      </c>
      <c r="Y88" s="4">
        <f>_xlfn.IFNA(VLOOKUP(Table2[[#This Row],[tee time4]],'6-6-6 - groups'!$A$3:$F$20,4,FALSE),"")</f>
        <v>0.17291666666666666</v>
      </c>
      <c r="Z88" s="13">
        <f>_xlfn.IFNA(VLOOKUP(Table2[[#This Row],[tee time4]],'6-6-6 - groups'!$A$3:$F$20,5,FALSE),"")</f>
        <v>4.1666666666666519E-3</v>
      </c>
      <c r="AA88" s="69">
        <f>IF(Table2[[#This Row],[avg gap]]&lt;&gt;"",IFERROR((MAX(starting_interval,IF(Table2[[#This Row],[gap4]]="NA",Table2[[#This Row],[avg gap]],Table2[[#This Row],[gap4]]))-starting_interval)*Table2[[#This Row],[followers4]]/Table2[[#This Row],[group size4]],""),"")</f>
        <v>0</v>
      </c>
      <c r="AB88" s="32">
        <f>_xlfn.IFNA(VLOOKUP(Table2[[#This Row],[Name]],'Fall FD - players'!$A$2:$B$65,2,FALSE),"")</f>
        <v>0.42083333333333334</v>
      </c>
      <c r="AC88" s="59">
        <f>IF(Table2[[#This Row],[tee time5]]&lt;&gt;"",COUNTIF('Fall FD - players'!$B$2:$B$65,"="&amp;Table2[[#This Row],[tee time5]]),"")</f>
        <v>3</v>
      </c>
      <c r="AD88" s="59">
        <f>_xlfn.IFNA(VLOOKUP(Table2[[#This Row],[tee time5]],'Fall FD - groups'!$A$3:$F$20,6,FALSE),"")</f>
        <v>20</v>
      </c>
      <c r="AE88" s="4">
        <f>_xlfn.IFNA(VLOOKUP(Table2[[#This Row],[tee time5]],'Fall FD - groups'!$A$3:$F$20,4,FALSE),"")</f>
        <v>0.17916666666666664</v>
      </c>
      <c r="AF88" s="13">
        <f>IFERROR(MIN(_xlfn.IFNA(VLOOKUP(Table2[[#This Row],[tee time5]],'Fall FD - groups'!$A$3:$F$20,5,FALSE),""),starting_interval + Table2[[#This Row],[round5]] - standard_round_time),"")</f>
        <v>8.3333333333333037E-3</v>
      </c>
      <c r="AG88" s="69">
        <f>IF(AND(Table2[[#This Row],[gap5]]="NA",Table2[[#This Row],[round5]]&lt;4/24),0,IFERROR((MAX(starting_interval,IF(Table2[[#This Row],[gap5]]="NA",Table2[[#This Row],[avg gap]],Table2[[#This Row],[gap5]]))-starting_interval)*Table2[[#This Row],[followers5]]/Table2[[#This Row],[group size5]],""))</f>
        <v>9.2592592592590645E-3</v>
      </c>
      <c r="AH88" s="32" t="str">
        <f>_xlfn.IFNA(VLOOKUP(Table2[[#This Row],[Name]],'Stableford - players'!$A$2:$B$65,2,FALSE),"")</f>
        <v/>
      </c>
      <c r="AI88" s="59" t="str">
        <f>IF(Table2[[#This Row],[tee time6]]&lt;&gt;"",COUNTIF('Stableford - players'!$B$2:$B$65,"="&amp;Table2[[#This Row],[tee time6]]),"")</f>
        <v/>
      </c>
      <c r="AJ88" s="59" t="str">
        <f>_xlfn.IFNA(VLOOKUP(Table2[[#This Row],[tee time6]],'Stableford - groups'!$A$3:$F$20,6,FALSE),"")</f>
        <v/>
      </c>
      <c r="AK88" s="11" t="str">
        <f>_xlfn.IFNA(VLOOKUP(Table2[[#This Row],[tee time6]],'Stableford - groups'!$A$3:$F$20,4,FALSE),"")</f>
        <v/>
      </c>
      <c r="AL88" s="13" t="str">
        <f>_xlfn.IFNA(VLOOKUP(Table2[[#This Row],[tee time6]],'Stableford - groups'!$A$3:$F$20,5,FALSE),"")</f>
        <v/>
      </c>
      <c r="AM88" s="68" t="str">
        <f>IF(AND(Table2[[#This Row],[gap6]]="NA",Table2[[#This Row],[round6]]&lt;4/24),0,IFERROR((MAX(starting_interval,IF(Table2[[#This Row],[gap6]]="NA",Table2[[#This Row],[avg gap]],Table2[[#This Row],[gap6]]))-starting_interval)*Table2[[#This Row],[followers6]]/Table2[[#This Row],[group size6]],""))</f>
        <v/>
      </c>
      <c r="AN88" s="32" t="str">
        <f>_xlfn.IFNA(VLOOKUP(Table2[[#This Row],[Name]],'Turkey Shoot - players'!$A$2:$B$65,2,FALSE),"")</f>
        <v/>
      </c>
      <c r="AO88" s="59" t="str">
        <f>IF(Table2[[#This Row],[tee time7]]&lt;&gt;"",COUNTIF('Turkey Shoot - players'!$B$2:$B$65,"="&amp;Table2[[#This Row],[tee time7]]),"")</f>
        <v/>
      </c>
      <c r="AP88" s="59" t="str">
        <f>_xlfn.IFNA(VLOOKUP(Table2[[#This Row],[tee time7]],'Stableford - groups'!$A$3:$F$20,6,FALSE),"")</f>
        <v/>
      </c>
      <c r="AQ88" s="11" t="str">
        <f>_xlfn.IFNA(VLOOKUP(Table2[[#This Row],[tee time7]],'Turkey Shoot - groups'!$A$3:$F$20,4,FALSE),"")</f>
        <v/>
      </c>
      <c r="AR88" s="13" t="str">
        <f>_xlfn.IFNA(VLOOKUP(Table2[[#This Row],[tee time7]],'Turkey Shoot - groups'!$A$3:$F$20,5,FALSE),"")</f>
        <v/>
      </c>
      <c r="AS88" s="68" t="str">
        <f>IF(AND(Table2[[#This Row],[gap7]]="NA",Table2[[#This Row],[round7]]&lt;4/24),0,IFERROR((MAX(starting_interval,IF(Table2[[#This Row],[gap7]]="NA",Table2[[#This Row],[avg gap]],Table2[[#This Row],[gap7]]))-starting_interval)*Table2[[#This Row],[followers7]]/Table2[[#This Row],[group size7]],""))</f>
        <v/>
      </c>
      <c r="AT88" s="72">
        <f>COUNT(Table2[[#This Row],[Tee time1]],Table2[[#This Row],[tee time2]],Table2[[#This Row],[tee time3]],Table2[[#This Row],[tee time4]],Table2[[#This Row],[tee time5]],Table2[[#This Row],[tee time6]],Table2[[#This Row],[tee time7]])</f>
        <v>3</v>
      </c>
      <c r="AU88" s="4">
        <f>IFERROR(AVERAGE(Table2[[#This Row],[Tee time1]],Table2[[#This Row],[tee time2]],Table2[[#This Row],[tee time3]],Table2[[#This Row],[tee time4]],Table2[[#This Row],[tee time5]],Table2[[#This Row],[tee time6]],Table2[[#This Row],[tee time7]]),"")</f>
        <v>0.41435185185185186</v>
      </c>
      <c r="AV88" s="11">
        <f>IFERROR(MEDIAN(Table2[[#This Row],[round1]],Table2[[#This Row],[Round2]],Table2[[#This Row],[round3]],Table2[[#This Row],[round4]],Table2[[#This Row],[round5]],Table2[[#This Row],[round6]],Table2[[#This Row],[round7]]),"")</f>
        <v>0.17916666666666664</v>
      </c>
      <c r="AW88" s="11">
        <f>IFERROR(AVERAGE(Table2[[#This Row],[gap1]],Table2[[#This Row],[gap2]],Table2[[#This Row],[gap3]],Table2[[#This Row],[gap4]],Table2[[#This Row],[gap5]],Table2[[#This Row],[gap6]],Table2[[#This Row],[gap7]]),"")</f>
        <v>5.7870370370370168E-3</v>
      </c>
      <c r="AX88" s="9">
        <f>IFERROR((Table2[[#This Row],[avg gap]]-starting_interval)*24*60*Table2[[#This Row],[Count]],"NA")</f>
        <v>-5.0000000000000862</v>
      </c>
      <c r="AY8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9.2592592592590645E-3</v>
      </c>
      <c r="AZ88" s="2"/>
    </row>
    <row r="89" spans="1:52" x14ac:dyDescent="0.3">
      <c r="A89" s="10" t="s">
        <v>44</v>
      </c>
      <c r="B89" s="1" t="s">
        <v>282</v>
      </c>
      <c r="C89" s="19">
        <v>12.5</v>
      </c>
      <c r="D89" s="32" t="str">
        <f>_xlfn.IFNA(VLOOKUP(Table2[[#This Row],[Name]],'Classic day 1 - players'!$A$2:$B$64,2,FALSE),"")</f>
        <v/>
      </c>
      <c r="E89" s="33" t="str">
        <f>IF(Table2[[#This Row],[Tee time1]]&lt;&gt;"",COUNTIF('Classic day 1 - players'!$B$2:$B$64,"="&amp;Table2[[#This Row],[Tee time1]]),"")</f>
        <v/>
      </c>
      <c r="F89" s="33" t="str">
        <f>_xlfn.IFNA(VLOOKUP(Table2[[#This Row],[Tee time1]],'Classic day 1 - groups'!$A$3:$F$20,6,FALSE),"")</f>
        <v/>
      </c>
      <c r="G89" s="11" t="str">
        <f>_xlfn.IFNA(VLOOKUP(Table2[[#This Row],[Tee time1]],'Classic day 1 - groups'!$A$3:$F$20,4,FALSE),"")</f>
        <v/>
      </c>
      <c r="H89" s="12" t="str">
        <f>_xlfn.IFNA(VLOOKUP(Table2[[#This Row],[Tee time1]],'Classic day 1 - groups'!$A$3:$F$20,5,FALSE),"")</f>
        <v/>
      </c>
      <c r="I89" s="69" t="str">
        <f>IFERROR((MAX(starting_interval,IF(Table2[[#This Row],[gap1]]="NA",Table2[[#This Row],[avg gap]],Table2[[#This Row],[gap1]]))-starting_interval)*Table2[[#This Row],[followers1]]/Table2[[#This Row],[group size]],"")</f>
        <v/>
      </c>
      <c r="J89" s="32" t="str">
        <f>_xlfn.IFNA(VLOOKUP(Table2[[#This Row],[Name]],'Classic day 2 - players'!$A$2:$B$64,2,FALSE),"")</f>
        <v/>
      </c>
      <c r="K89" s="34" t="str">
        <f>IF(Table2[[#This Row],[tee time2]]&lt;&gt;"",COUNTIF('Classic day 2 - players'!$B$2:$B$64,"="&amp;Table2[[#This Row],[tee time2]]),"")</f>
        <v/>
      </c>
      <c r="L89" s="34" t="str">
        <f>_xlfn.IFNA(VLOOKUP(Table2[[#This Row],[tee time2]],'Classic day 2 - groups'!$A$3:$F$20,6,FALSE),"")</f>
        <v/>
      </c>
      <c r="M89" s="4" t="str">
        <f>_xlfn.IFNA(VLOOKUP(Table2[[#This Row],[tee time2]],'Classic day 2 - groups'!$A$3:$F$20,4,FALSE),"")</f>
        <v/>
      </c>
      <c r="N89" s="65" t="str">
        <f>_xlfn.IFNA(VLOOKUP(Table2[[#This Row],[tee time2]],'Classic day 2 - groups'!$A$3:$F$20,5,FALSE),"")</f>
        <v/>
      </c>
      <c r="O89" s="69" t="str">
        <f>IFERROR((MAX(starting_interval,IF(Table2[[#This Row],[gap2]]="NA",Table2[[#This Row],[avg gap]],Table2[[#This Row],[gap2]]))-starting_interval)*Table2[[#This Row],[followers2]]/Table2[[#This Row],[group size2]],"")</f>
        <v/>
      </c>
      <c r="P89" s="32" t="str">
        <f>_xlfn.IFNA(VLOOKUP(Table2[[#This Row],[Name]],'Summer FD - players'!$A$2:$B$65,2,FALSE),"")</f>
        <v/>
      </c>
      <c r="Q89" s="59" t="str">
        <f>IF(Table2[[#This Row],[tee time3]]&lt;&gt;"",COUNTIF('Summer FD - players'!$B$2:$B$65,"="&amp;Table2[[#This Row],[tee time3]]),"")</f>
        <v/>
      </c>
      <c r="R89" s="59" t="str">
        <f>_xlfn.IFNA(VLOOKUP(Table2[[#This Row],[tee time3]],'Summer FD - groups'!$A$3:$F$20,6,FALSE),"")</f>
        <v/>
      </c>
      <c r="S89" s="4" t="str">
        <f>_xlfn.IFNA(VLOOKUP(Table2[[#This Row],[tee time3]],'Summer FD - groups'!$A$3:$F$20,4,FALSE),"")</f>
        <v/>
      </c>
      <c r="T89" s="13" t="str">
        <f>_xlfn.IFNA(VLOOKUP(Table2[[#This Row],[tee time3]],'Summer FD - groups'!$A$3:$F$20,5,FALSE),"")</f>
        <v/>
      </c>
      <c r="U89" s="69" t="str">
        <f>IF(Table2[[#This Row],[avg gap]]&lt;&gt;"",IFERROR((MAX(starting_interval,IF(Table2[[#This Row],[gap3]]="NA",Table2[[#This Row],[avg gap]],Table2[[#This Row],[gap3]]))-starting_interval)*Table2[[#This Row],[followers3]]/Table2[[#This Row],[group size3]],""),"")</f>
        <v/>
      </c>
      <c r="V89" s="32">
        <f>_xlfn.IFNA(VLOOKUP(Table2[[#This Row],[Name]],'6-6-6 - players'!$A$2:$B$69,2,FALSE),"")</f>
        <v>0.36805555555555558</v>
      </c>
      <c r="W89" s="59">
        <f>IF(Table2[[#This Row],[tee time4]]&lt;&gt;"",COUNTIF('6-6-6 - players'!$B$2:$B$69,"="&amp;Table2[[#This Row],[tee time4]]),"")</f>
        <v>4</v>
      </c>
      <c r="X89" s="59">
        <f>_xlfn.IFNA(VLOOKUP(Table2[[#This Row],[tee time4]],'6-6-6 - groups'!$A$3:$F$20,6,FALSE),"")</f>
        <v>48</v>
      </c>
      <c r="Y89" s="4">
        <f>_xlfn.IFNA(VLOOKUP(Table2[[#This Row],[tee time4]],'6-6-6 - groups'!$A$3:$F$20,4,FALSE),"")</f>
        <v>0.17430555555555555</v>
      </c>
      <c r="Z89" s="13">
        <f>_xlfn.IFNA(VLOOKUP(Table2[[#This Row],[tee time4]],'6-6-6 - groups'!$A$3:$F$20,5,FALSE),"")</f>
        <v>7.6388888888888618E-3</v>
      </c>
      <c r="AA89" s="69">
        <f>IF(Table2[[#This Row],[avg gap]]&lt;&gt;"",IFERROR((MAX(starting_interval,IF(Table2[[#This Row],[gap4]]="NA",Table2[[#This Row],[avg gap]],Table2[[#This Row],[gap4]]))-starting_interval)*Table2[[#This Row],[followers4]]/Table2[[#This Row],[group size4]],""),"")</f>
        <v>8.3333333333330123E-3</v>
      </c>
      <c r="AB89" s="32" t="str">
        <f>_xlfn.IFNA(VLOOKUP(Table2[[#This Row],[Name]],'Fall FD - players'!$A$2:$B$65,2,FALSE),"")</f>
        <v/>
      </c>
      <c r="AC89" s="59" t="str">
        <f>IF(Table2[[#This Row],[tee time5]]&lt;&gt;"",COUNTIF('Fall FD - players'!$B$2:$B$65,"="&amp;Table2[[#This Row],[tee time5]]),"")</f>
        <v/>
      </c>
      <c r="AD89" s="59" t="str">
        <f>_xlfn.IFNA(VLOOKUP(Table2[[#This Row],[tee time5]],'Fall FD - groups'!$A$3:$F$20,6,FALSE),"")</f>
        <v/>
      </c>
      <c r="AE89" s="4" t="str">
        <f>_xlfn.IFNA(VLOOKUP(Table2[[#This Row],[tee time5]],'Fall FD - groups'!$A$3:$F$20,4,FALSE),"")</f>
        <v/>
      </c>
      <c r="AF89" s="13" t="str">
        <f>IFERROR(MIN(_xlfn.IFNA(VLOOKUP(Table2[[#This Row],[tee time5]],'Fall FD - groups'!$A$3:$F$20,5,FALSE),""),starting_interval + Table2[[#This Row],[round5]] - standard_round_time),"")</f>
        <v/>
      </c>
      <c r="AG89" s="69" t="str">
        <f>IF(AND(Table2[[#This Row],[gap5]]="NA",Table2[[#This Row],[round5]]&lt;4/24),0,IFERROR((MAX(starting_interval,IF(Table2[[#This Row],[gap5]]="NA",Table2[[#This Row],[avg gap]],Table2[[#This Row],[gap5]]))-starting_interval)*Table2[[#This Row],[followers5]]/Table2[[#This Row],[group size5]],""))</f>
        <v/>
      </c>
      <c r="AH89" s="32" t="str">
        <f>_xlfn.IFNA(VLOOKUP(Table2[[#This Row],[Name]],'Stableford - players'!$A$2:$B$65,2,FALSE),"")</f>
        <v/>
      </c>
      <c r="AI89" s="59" t="str">
        <f>IF(Table2[[#This Row],[tee time6]]&lt;&gt;"",COUNTIF('Stableford - players'!$B$2:$B$65,"="&amp;Table2[[#This Row],[tee time6]]),"")</f>
        <v/>
      </c>
      <c r="AJ89" s="59" t="str">
        <f>_xlfn.IFNA(VLOOKUP(Table2[[#This Row],[tee time6]],'Stableford - groups'!$A$3:$F$20,6,FALSE),"")</f>
        <v/>
      </c>
      <c r="AK89" s="11" t="str">
        <f>_xlfn.IFNA(VLOOKUP(Table2[[#This Row],[tee time6]],'Stableford - groups'!$A$3:$F$20,4,FALSE),"")</f>
        <v/>
      </c>
      <c r="AL89" s="13" t="str">
        <f>_xlfn.IFNA(VLOOKUP(Table2[[#This Row],[tee time6]],'Stableford - groups'!$A$3:$F$20,5,FALSE),"")</f>
        <v/>
      </c>
      <c r="AM89" s="68" t="str">
        <f>IF(AND(Table2[[#This Row],[gap6]]="NA",Table2[[#This Row],[round6]]&lt;4/24),0,IFERROR((MAX(starting_interval,IF(Table2[[#This Row],[gap6]]="NA",Table2[[#This Row],[avg gap]],Table2[[#This Row],[gap6]]))-starting_interval)*Table2[[#This Row],[followers6]]/Table2[[#This Row],[group size6]],""))</f>
        <v/>
      </c>
      <c r="AN89" s="32" t="str">
        <f>_xlfn.IFNA(VLOOKUP(Table2[[#This Row],[Name]],'Turkey Shoot - players'!$A$2:$B$65,2,FALSE),"")</f>
        <v/>
      </c>
      <c r="AO89" s="59" t="str">
        <f>IF(Table2[[#This Row],[tee time7]]&lt;&gt;"",COUNTIF('Turkey Shoot - players'!$B$2:$B$65,"="&amp;Table2[[#This Row],[tee time7]]),"")</f>
        <v/>
      </c>
      <c r="AP89" s="59" t="str">
        <f>_xlfn.IFNA(VLOOKUP(Table2[[#This Row],[tee time7]],'Stableford - groups'!$A$3:$F$20,6,FALSE),"")</f>
        <v/>
      </c>
      <c r="AQ89" s="11" t="str">
        <f>_xlfn.IFNA(VLOOKUP(Table2[[#This Row],[tee time7]],'Turkey Shoot - groups'!$A$3:$F$20,4,FALSE),"")</f>
        <v/>
      </c>
      <c r="AR89" s="13" t="str">
        <f>_xlfn.IFNA(VLOOKUP(Table2[[#This Row],[tee time7]],'Turkey Shoot - groups'!$A$3:$F$20,5,FALSE),"")</f>
        <v/>
      </c>
      <c r="AS89" s="68" t="str">
        <f>IF(AND(Table2[[#This Row],[gap7]]="NA",Table2[[#This Row],[round7]]&lt;4/24),0,IFERROR((MAX(starting_interval,IF(Table2[[#This Row],[gap7]]="NA",Table2[[#This Row],[avg gap]],Table2[[#This Row],[gap7]]))-starting_interval)*Table2[[#This Row],[followers7]]/Table2[[#This Row],[group size7]],""))</f>
        <v/>
      </c>
      <c r="AT89" s="72">
        <f>COUNT(Table2[[#This Row],[Tee time1]],Table2[[#This Row],[tee time2]],Table2[[#This Row],[tee time3]],Table2[[#This Row],[tee time4]],Table2[[#This Row],[tee time5]],Table2[[#This Row],[tee time6]],Table2[[#This Row],[tee time7]])</f>
        <v>1</v>
      </c>
      <c r="AU89" s="4">
        <f>IFERROR(AVERAGE(Table2[[#This Row],[Tee time1]],Table2[[#This Row],[tee time2]],Table2[[#This Row],[tee time3]],Table2[[#This Row],[tee time4]],Table2[[#This Row],[tee time5]],Table2[[#This Row],[tee time6]],Table2[[#This Row],[tee time7]]),"")</f>
        <v>0.36805555555555558</v>
      </c>
      <c r="AV89" s="11">
        <f>IFERROR(MEDIAN(Table2[[#This Row],[round1]],Table2[[#This Row],[Round2]],Table2[[#This Row],[round3]],Table2[[#This Row],[round4]],Table2[[#This Row],[round5]],Table2[[#This Row],[round6]],Table2[[#This Row],[round7]]),"")</f>
        <v>0.17430555555555555</v>
      </c>
      <c r="AW89" s="11">
        <f>IFERROR(AVERAGE(Table2[[#This Row],[gap1]],Table2[[#This Row],[gap2]],Table2[[#This Row],[gap3]],Table2[[#This Row],[gap4]],Table2[[#This Row],[gap5]],Table2[[#This Row],[gap6]],Table2[[#This Row],[gap7]]),"")</f>
        <v>7.6388888888888618E-3</v>
      </c>
      <c r="AX89" s="9">
        <f>IFERROR((Table2[[#This Row],[avg gap]]-starting_interval)*24*60*Table2[[#This Row],[Count]],"NA")</f>
        <v>0.99999999999996148</v>
      </c>
      <c r="AY8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8.3333333333330123E-3</v>
      </c>
      <c r="AZ89" s="2"/>
    </row>
    <row r="90" spans="1:52" x14ac:dyDescent="0.3">
      <c r="A90" s="10" t="s">
        <v>482</v>
      </c>
      <c r="B90" s="28"/>
      <c r="C90" s="29"/>
      <c r="D90" s="63" t="str">
        <f>_xlfn.IFNA(VLOOKUP(Table2[[#This Row],[Name]],'Classic day 1 - players'!$A$2:$B$64,2,FALSE),"")</f>
        <v/>
      </c>
      <c r="E90" s="34" t="str">
        <f>IF(Table2[[#This Row],[Tee time1]]&lt;&gt;"",COUNTIF('Classic day 1 - players'!$B$2:$B$64,"="&amp;Table2[[#This Row],[Tee time1]]),"")</f>
        <v/>
      </c>
      <c r="F90" s="34" t="str">
        <f>_xlfn.IFNA(VLOOKUP(Table2[[#This Row],[Tee time1]],'Classic day 1 - groups'!$A$3:$F$20,6,FALSE),"")</f>
        <v/>
      </c>
      <c r="G90" s="30" t="str">
        <f>_xlfn.IFNA(VLOOKUP(Table2[[#This Row],[Tee time1]],'Classic day 1 - groups'!$A$3:$F$20,4,FALSE),"")</f>
        <v/>
      </c>
      <c r="H90" s="64" t="str">
        <f>_xlfn.IFNA(VLOOKUP(Table2[[#This Row],[Tee time1]],'Classic day 1 - groups'!$A$3:$F$20,5,FALSE),"")</f>
        <v/>
      </c>
      <c r="I90" s="69" t="str">
        <f>IFERROR((MAX(starting_interval,IF(Table2[[#This Row],[gap1]]="NA",Table2[[#This Row],[avg gap]],Table2[[#This Row],[gap1]]))-starting_interval)*Table2[[#This Row],[followers1]]/Table2[[#This Row],[group size]],"")</f>
        <v/>
      </c>
      <c r="J90" s="32" t="str">
        <f>_xlfn.IFNA(VLOOKUP(Table2[[#This Row],[Name]],'Classic day 2 - players'!$A$2:$B$64,2,FALSE),"")</f>
        <v/>
      </c>
      <c r="K90" s="33" t="str">
        <f>IF(Table2[[#This Row],[tee time2]]&lt;&gt;"",COUNTIF('Classic day 2 - players'!$B$2:$B$64,"="&amp;Table2[[#This Row],[tee time2]]),"")</f>
        <v/>
      </c>
      <c r="L90" s="33" t="str">
        <f>_xlfn.IFNA(VLOOKUP(Table2[[#This Row],[tee time2]],'Classic day 2 - groups'!$A$3:$F$20,6,FALSE),"")</f>
        <v/>
      </c>
      <c r="M90" s="4" t="str">
        <f>_xlfn.IFNA(VLOOKUP(Table2[[#This Row],[tee time2]],'Classic day 2 - groups'!$A$3:$F$20,4,FALSE),"")</f>
        <v/>
      </c>
      <c r="N90" s="65" t="str">
        <f>_xlfn.IFNA(VLOOKUP(Table2[[#This Row],[tee time2]],'Classic day 2 - groups'!$A$3:$F$20,5,FALSE),"")</f>
        <v/>
      </c>
      <c r="O90" s="69" t="str">
        <f>IFERROR((MAX(starting_interval,IF(Table2[[#This Row],[gap2]]="NA",Table2[[#This Row],[avg gap]],Table2[[#This Row],[gap2]]))-starting_interval)*Table2[[#This Row],[followers2]]/Table2[[#This Row],[group size2]],"")</f>
        <v/>
      </c>
      <c r="P90" s="66" t="str">
        <f>_xlfn.IFNA(VLOOKUP(Table2[[#This Row],[Name]],'Summer FD - players'!$A$2:$B$65,2,FALSE),"")</f>
        <v/>
      </c>
      <c r="Q90" s="60" t="str">
        <f>IF(Table2[[#This Row],[tee time3]]&lt;&gt;"",COUNTIF('Summer FD - players'!$B$2:$B$65,"="&amp;Table2[[#This Row],[tee time3]]),"")</f>
        <v/>
      </c>
      <c r="R90" s="60" t="str">
        <f>_xlfn.IFNA(VLOOKUP(Table2[[#This Row],[tee time3]],'Summer FD - groups'!$A$3:$F$20,6,FALSE),"")</f>
        <v/>
      </c>
      <c r="S90" s="3" t="str">
        <f>_xlfn.IFNA(VLOOKUP(Table2[[#This Row],[tee time3]],'Summer FD - groups'!$A$3:$F$20,4,FALSE),"")</f>
        <v/>
      </c>
      <c r="T90" s="65" t="str">
        <f>_xlfn.IFNA(VLOOKUP(Table2[[#This Row],[tee time3]],'Summer FD - groups'!$A$3:$F$20,5,FALSE),"")</f>
        <v/>
      </c>
      <c r="U90" s="69" t="str">
        <f>IF(Table2[[#This Row],[avg gap]]&lt;&gt;"",IFERROR((MAX(starting_interval,IF(Table2[[#This Row],[gap3]]="NA",Table2[[#This Row],[avg gap]],Table2[[#This Row],[gap3]]))-starting_interval)*Table2[[#This Row],[followers3]]/Table2[[#This Row],[group size3]],""),"")</f>
        <v/>
      </c>
      <c r="V90" s="32">
        <f>_xlfn.IFNA(VLOOKUP(Table2[[#This Row],[Name]],'6-6-6 - players'!$A$2:$B$69,2,FALSE),"")</f>
        <v>0.36805555555555558</v>
      </c>
      <c r="W90" s="60">
        <f>IF(Table2[[#This Row],[tee time4]]&lt;&gt;"",COUNTIF('6-6-6 - players'!$B$2:$B$69,"="&amp;Table2[[#This Row],[tee time4]]),"")</f>
        <v>4</v>
      </c>
      <c r="X90" s="60">
        <f>_xlfn.IFNA(VLOOKUP(Table2[[#This Row],[tee time4]],'6-6-6 - groups'!$A$3:$F$20,6,FALSE),"")</f>
        <v>48</v>
      </c>
      <c r="Y90" s="4">
        <f>_xlfn.IFNA(VLOOKUP(Table2[[#This Row],[tee time4]],'6-6-6 - groups'!$A$3:$F$20,4,FALSE),"")</f>
        <v>0.17430555555555555</v>
      </c>
      <c r="Z90" s="13">
        <f>_xlfn.IFNA(VLOOKUP(Table2[[#This Row],[tee time4]],'6-6-6 - groups'!$A$3:$F$20,5,FALSE),"")</f>
        <v>7.6388888888888618E-3</v>
      </c>
      <c r="AA90" s="69">
        <f>IF(Table2[[#This Row],[avg gap]]&lt;&gt;"",IFERROR((MAX(starting_interval,IF(Table2[[#This Row],[gap4]]="NA",Table2[[#This Row],[avg gap]],Table2[[#This Row],[gap4]]))-starting_interval)*Table2[[#This Row],[followers4]]/Table2[[#This Row],[group size4]],""),"")</f>
        <v>8.3333333333330123E-3</v>
      </c>
      <c r="AB90" s="32" t="str">
        <f>_xlfn.IFNA(VLOOKUP(Table2[[#This Row],[Name]],'Fall FD - players'!$A$2:$B$65,2,FALSE),"")</f>
        <v/>
      </c>
      <c r="AC90" s="60" t="str">
        <f>IF(Table2[[#This Row],[tee time5]]&lt;&gt;"",COUNTIF('Fall FD - players'!$B$2:$B$65,"="&amp;Table2[[#This Row],[tee time5]]),"")</f>
        <v/>
      </c>
      <c r="AD90" s="60" t="str">
        <f>_xlfn.IFNA(VLOOKUP(Table2[[#This Row],[tee time5]],'Fall FD - groups'!$A$3:$F$20,6,FALSE),"")</f>
        <v/>
      </c>
      <c r="AE90" s="4" t="str">
        <f>_xlfn.IFNA(VLOOKUP(Table2[[#This Row],[tee time5]],'Fall FD - groups'!$A$3:$F$20,4,FALSE),"")</f>
        <v/>
      </c>
      <c r="AF90" s="13" t="str">
        <f>IFERROR(MIN(_xlfn.IFNA(VLOOKUP(Table2[[#This Row],[tee time5]],'Fall FD - groups'!$A$3:$F$20,5,FALSE),""),starting_interval + Table2[[#This Row],[round5]] - standard_round_time),"")</f>
        <v/>
      </c>
      <c r="AG90" s="69" t="str">
        <f>IF(AND(Table2[[#This Row],[gap5]]="NA",Table2[[#This Row],[round5]]&lt;4/24),0,IFERROR((MAX(starting_interval,IF(Table2[[#This Row],[gap5]]="NA",Table2[[#This Row],[avg gap]],Table2[[#This Row],[gap5]]))-starting_interval)*Table2[[#This Row],[followers5]]/Table2[[#This Row],[group size5]],""))</f>
        <v/>
      </c>
      <c r="AH90" s="32" t="str">
        <f>_xlfn.IFNA(VLOOKUP(Table2[[#This Row],[Name]],'Stableford - players'!$A$2:$B$65,2,FALSE),"")</f>
        <v/>
      </c>
      <c r="AI90" s="60" t="str">
        <f>IF(Table2[[#This Row],[tee time6]]&lt;&gt;"",COUNTIF('Stableford - players'!$B$2:$B$65,"="&amp;Table2[[#This Row],[tee time6]]),"")</f>
        <v/>
      </c>
      <c r="AJ90" s="59" t="str">
        <f>_xlfn.IFNA(VLOOKUP(Table2[[#This Row],[tee time6]],'Stableford - groups'!$A$3:$F$20,6,FALSE),"")</f>
        <v/>
      </c>
      <c r="AK90" s="11" t="str">
        <f>_xlfn.IFNA(VLOOKUP(Table2[[#This Row],[tee time6]],'Stableford - groups'!$A$3:$F$20,4,FALSE),"")</f>
        <v/>
      </c>
      <c r="AL90" s="13" t="str">
        <f>_xlfn.IFNA(VLOOKUP(Table2[[#This Row],[tee time6]],'Stableford - groups'!$A$3:$F$20,5,FALSE),"")</f>
        <v/>
      </c>
      <c r="AM90" s="68" t="str">
        <f>IF(AND(Table2[[#This Row],[gap6]]="NA",Table2[[#This Row],[round6]]&lt;4/24),0,IFERROR((MAX(starting_interval,IF(Table2[[#This Row],[gap6]]="NA",Table2[[#This Row],[avg gap]],Table2[[#This Row],[gap6]]))-starting_interval)*Table2[[#This Row],[followers6]]/Table2[[#This Row],[group size6]],""))</f>
        <v/>
      </c>
      <c r="AN90" s="32" t="str">
        <f>_xlfn.IFNA(VLOOKUP(Table2[[#This Row],[Name]],'Turkey Shoot - players'!$A$2:$B$65,2,FALSE),"")</f>
        <v/>
      </c>
      <c r="AO90" s="59" t="str">
        <f>IF(Table2[[#This Row],[tee time7]]&lt;&gt;"",COUNTIF('Turkey Shoot - players'!$B$2:$B$65,"="&amp;Table2[[#This Row],[tee time7]]),"")</f>
        <v/>
      </c>
      <c r="AP90" s="59" t="str">
        <f>_xlfn.IFNA(VLOOKUP(Table2[[#This Row],[tee time7]],'Stableford - groups'!$A$3:$F$20,6,FALSE),"")</f>
        <v/>
      </c>
      <c r="AQ90" s="11" t="str">
        <f>_xlfn.IFNA(VLOOKUP(Table2[[#This Row],[tee time7]],'Turkey Shoot - groups'!$A$3:$F$20,4,FALSE),"")</f>
        <v/>
      </c>
      <c r="AR90" s="13" t="str">
        <f>_xlfn.IFNA(VLOOKUP(Table2[[#This Row],[tee time7]],'Turkey Shoot - groups'!$A$3:$F$20,5,FALSE),"")</f>
        <v/>
      </c>
      <c r="AS90" s="68" t="str">
        <f>IF(AND(Table2[[#This Row],[gap7]]="NA",Table2[[#This Row],[round7]]&lt;4/24),0,IFERROR((MAX(starting_interval,IF(Table2[[#This Row],[gap7]]="NA",Table2[[#This Row],[avg gap]],Table2[[#This Row],[gap7]]))-starting_interval)*Table2[[#This Row],[followers7]]/Table2[[#This Row],[group size7]],""))</f>
        <v/>
      </c>
      <c r="AT90" s="72">
        <f>COUNT(Table2[[#This Row],[Tee time1]],Table2[[#This Row],[tee time2]],Table2[[#This Row],[tee time3]],Table2[[#This Row],[tee time4]],Table2[[#This Row],[tee time5]],Table2[[#This Row],[tee time6]],Table2[[#This Row],[tee time7]])</f>
        <v>1</v>
      </c>
      <c r="AU90" s="4">
        <f>IFERROR(AVERAGE(Table2[[#This Row],[Tee time1]],Table2[[#This Row],[tee time2]],Table2[[#This Row],[tee time3]],Table2[[#This Row],[tee time4]],Table2[[#This Row],[tee time5]],Table2[[#This Row],[tee time6]],Table2[[#This Row],[tee time7]]),"")</f>
        <v>0.36805555555555558</v>
      </c>
      <c r="AV90" s="30">
        <f>IFERROR(MEDIAN(Table2[[#This Row],[round1]],Table2[[#This Row],[Round2]],Table2[[#This Row],[round3]],Table2[[#This Row],[round4]],Table2[[#This Row],[round5]],Table2[[#This Row],[round6]],Table2[[#This Row],[round7]]),"")</f>
        <v>0.17430555555555555</v>
      </c>
      <c r="AW90" s="30">
        <f>IFERROR(AVERAGE(Table2[[#This Row],[gap1]],Table2[[#This Row],[gap2]],Table2[[#This Row],[gap3]],Table2[[#This Row],[gap4]],Table2[[#This Row],[gap5]],Table2[[#This Row],[gap6]],Table2[[#This Row],[gap7]]),"")</f>
        <v>7.6388888888888618E-3</v>
      </c>
      <c r="AX90" s="9">
        <f>IFERROR((Table2[[#This Row],[avg gap]]-starting_interval)*24*60*Table2[[#This Row],[Count]],"NA")</f>
        <v>0.99999999999996148</v>
      </c>
      <c r="AY9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8.3333333333330123E-3</v>
      </c>
      <c r="AZ90" s="2"/>
    </row>
    <row r="91" spans="1:52" x14ac:dyDescent="0.3">
      <c r="A91" s="10" t="s">
        <v>183</v>
      </c>
      <c r="B91" s="1" t="s">
        <v>422</v>
      </c>
      <c r="C91" s="19">
        <v>2.7</v>
      </c>
      <c r="D91" s="32">
        <f>_xlfn.IFNA(VLOOKUP(Table2[[#This Row],[Name]],'Classic day 1 - players'!$A$2:$B$64,2,FALSE),"")</f>
        <v>0.37708333333333338</v>
      </c>
      <c r="E91" s="33">
        <f>IF(Table2[[#This Row],[Tee time1]]&lt;&gt;"",COUNTIF('Classic day 1 - players'!$B$2:$B$64,"="&amp;Table2[[#This Row],[Tee time1]]),"")</f>
        <v>4</v>
      </c>
      <c r="F91" s="33">
        <f>_xlfn.IFNA(VLOOKUP(Table2[[#This Row],[Tee time1]],'Classic day 1 - groups'!$A$3:$F$20,6,FALSE),"")</f>
        <v>40</v>
      </c>
      <c r="G91" s="11">
        <f>_xlfn.IFNA(VLOOKUP(Table2[[#This Row],[Tee time1]],'Classic day 1 - groups'!$A$3:$F$20,4,FALSE),"")</f>
        <v>0.19861111111111118</v>
      </c>
      <c r="H91" s="12">
        <f>_xlfn.IFNA(VLOOKUP(Table2[[#This Row],[Tee time1]],'Classic day 1 - groups'!$A$3:$F$20,5,FALSE),"")</f>
        <v>7.6388888888889728E-3</v>
      </c>
      <c r="I91" s="69">
        <f>IFERROR((MAX(starting_interval,IF(Table2[[#This Row],[gap1]]="NA",Table2[[#This Row],[avg gap]],Table2[[#This Row],[gap1]]))-starting_interval)*Table2[[#This Row],[followers1]]/Table2[[#This Row],[group size]],"")</f>
        <v>6.9444444444452871E-3</v>
      </c>
      <c r="J91" s="32">
        <f>_xlfn.IFNA(VLOOKUP(Table2[[#This Row],[Name]],'Classic day 2 - players'!$A$2:$B$64,2,FALSE),"")</f>
        <v>0.4145833333333333</v>
      </c>
      <c r="K91" s="33">
        <f>IF(Table2[[#This Row],[tee time2]]&lt;&gt;"",COUNTIF('Classic day 2 - players'!$B$2:$B$64,"="&amp;Table2[[#This Row],[tee time2]]),"")</f>
        <v>4</v>
      </c>
      <c r="L91" s="33">
        <f>_xlfn.IFNA(VLOOKUP(Table2[[#This Row],[tee time2]],'Classic day 2 - groups'!$A$3:$F$20,6,FALSE),"")</f>
        <v>0</v>
      </c>
      <c r="M91" s="4">
        <f>_xlfn.IFNA(VLOOKUP(Table2[[#This Row],[tee time2]],'Classic day 2 - groups'!$A$3:$F$20,4,FALSE),"")</f>
        <v>0.20069444444444443</v>
      </c>
      <c r="N91" s="65">
        <f>_xlfn.IFNA(VLOOKUP(Table2[[#This Row],[tee time2]],'Classic day 2 - groups'!$A$3:$F$20,5,FALSE),"")</f>
        <v>1.5972222222222224E-2</v>
      </c>
      <c r="O91" s="69">
        <f>IFERROR((MAX(starting_interval,IF(Table2[[#This Row],[gap2]]="NA",Table2[[#This Row],[avg gap]],Table2[[#This Row],[gap2]]))-starting_interval)*Table2[[#This Row],[followers2]]/Table2[[#This Row],[group size2]],"")</f>
        <v>0</v>
      </c>
      <c r="P91" s="32" t="str">
        <f>_xlfn.IFNA(VLOOKUP(Table2[[#This Row],[Name]],'Summer FD - players'!$A$2:$B$65,2,FALSE),"")</f>
        <v/>
      </c>
      <c r="Q91" s="59" t="str">
        <f>IF(Table2[[#This Row],[tee time3]]&lt;&gt;"",COUNTIF('Summer FD - players'!$B$2:$B$65,"="&amp;Table2[[#This Row],[tee time3]]),"")</f>
        <v/>
      </c>
      <c r="R91" s="59" t="str">
        <f>_xlfn.IFNA(VLOOKUP(Table2[[#This Row],[tee time3]],'Summer FD - groups'!$A$3:$F$20,6,FALSE),"")</f>
        <v/>
      </c>
      <c r="S91" s="4" t="str">
        <f>_xlfn.IFNA(VLOOKUP(Table2[[#This Row],[tee time3]],'Summer FD - groups'!$A$3:$F$20,4,FALSE),"")</f>
        <v/>
      </c>
      <c r="T91" s="13" t="str">
        <f>_xlfn.IFNA(VLOOKUP(Table2[[#This Row],[tee time3]],'Summer FD - groups'!$A$3:$F$20,5,FALSE),"")</f>
        <v/>
      </c>
      <c r="U91" s="69" t="str">
        <f>IF(Table2[[#This Row],[avg gap]]&lt;&gt;"",IFERROR((MAX(starting_interval,IF(Table2[[#This Row],[gap3]]="NA",Table2[[#This Row],[avg gap]],Table2[[#This Row],[gap3]]))-starting_interval)*Table2[[#This Row],[followers3]]/Table2[[#This Row],[group size3]],""),"")</f>
        <v/>
      </c>
      <c r="V91" s="32" t="str">
        <f>_xlfn.IFNA(VLOOKUP(Table2[[#This Row],[Name]],'6-6-6 - players'!$A$2:$B$69,2,FALSE),"")</f>
        <v/>
      </c>
      <c r="W91" s="59" t="str">
        <f>IF(Table2[[#This Row],[tee time4]]&lt;&gt;"",COUNTIF('6-6-6 - players'!$B$2:$B$69,"="&amp;Table2[[#This Row],[tee time4]]),"")</f>
        <v/>
      </c>
      <c r="X91" s="59" t="str">
        <f>_xlfn.IFNA(VLOOKUP(Table2[[#This Row],[tee time4]],'6-6-6 - groups'!$A$3:$F$20,6,FALSE),"")</f>
        <v/>
      </c>
      <c r="Y91" s="4" t="str">
        <f>_xlfn.IFNA(VLOOKUP(Table2[[#This Row],[tee time4]],'6-6-6 - groups'!$A$3:$F$20,4,FALSE),"")</f>
        <v/>
      </c>
      <c r="Z91" s="13" t="str">
        <f>_xlfn.IFNA(VLOOKUP(Table2[[#This Row],[tee time4]],'6-6-6 - groups'!$A$3:$F$20,5,FALSE),"")</f>
        <v/>
      </c>
      <c r="AA91" s="69" t="str">
        <f>IF(Table2[[#This Row],[avg gap]]&lt;&gt;"",IFERROR((MAX(starting_interval,IF(Table2[[#This Row],[gap4]]="NA",Table2[[#This Row],[avg gap]],Table2[[#This Row],[gap4]]))-starting_interval)*Table2[[#This Row],[followers4]]/Table2[[#This Row],[group size4]],""),"")</f>
        <v/>
      </c>
      <c r="AB91" s="32" t="str">
        <f>_xlfn.IFNA(VLOOKUP(Table2[[#This Row],[Name]],'Fall FD - players'!$A$2:$B$65,2,FALSE),"")</f>
        <v/>
      </c>
      <c r="AC91" s="59" t="str">
        <f>IF(Table2[[#This Row],[tee time5]]&lt;&gt;"",COUNTIF('Fall FD - players'!$B$2:$B$65,"="&amp;Table2[[#This Row],[tee time5]]),"")</f>
        <v/>
      </c>
      <c r="AD91" s="59" t="str">
        <f>_xlfn.IFNA(VLOOKUP(Table2[[#This Row],[tee time5]],'Fall FD - groups'!$A$3:$F$20,6,FALSE),"")</f>
        <v/>
      </c>
      <c r="AE91" s="4" t="str">
        <f>_xlfn.IFNA(VLOOKUP(Table2[[#This Row],[tee time5]],'Fall FD - groups'!$A$3:$F$20,4,FALSE),"")</f>
        <v/>
      </c>
      <c r="AF91" s="13" t="str">
        <f>IFERROR(MIN(_xlfn.IFNA(VLOOKUP(Table2[[#This Row],[tee time5]],'Fall FD - groups'!$A$3:$F$20,5,FALSE),""),starting_interval + Table2[[#This Row],[round5]] - standard_round_time),"")</f>
        <v/>
      </c>
      <c r="AG91" s="69" t="str">
        <f>IF(AND(Table2[[#This Row],[gap5]]="NA",Table2[[#This Row],[round5]]&lt;4/24),0,IFERROR((MAX(starting_interval,IF(Table2[[#This Row],[gap5]]="NA",Table2[[#This Row],[avg gap]],Table2[[#This Row],[gap5]]))-starting_interval)*Table2[[#This Row],[followers5]]/Table2[[#This Row],[group size5]],""))</f>
        <v/>
      </c>
      <c r="AH91" s="32" t="str">
        <f>_xlfn.IFNA(VLOOKUP(Table2[[#This Row],[Name]],'Stableford - players'!$A$2:$B$65,2,FALSE),"")</f>
        <v/>
      </c>
      <c r="AI91" s="59" t="str">
        <f>IF(Table2[[#This Row],[tee time6]]&lt;&gt;"",COUNTIF('Stableford - players'!$B$2:$B$65,"="&amp;Table2[[#This Row],[tee time6]]),"")</f>
        <v/>
      </c>
      <c r="AJ91" s="59" t="str">
        <f>_xlfn.IFNA(VLOOKUP(Table2[[#This Row],[tee time6]],'Stableford - groups'!$A$3:$F$20,6,FALSE),"")</f>
        <v/>
      </c>
      <c r="AK91" s="11" t="str">
        <f>_xlfn.IFNA(VLOOKUP(Table2[[#This Row],[tee time6]],'Stableford - groups'!$A$3:$F$20,4,FALSE),"")</f>
        <v/>
      </c>
      <c r="AL91" s="13" t="str">
        <f>_xlfn.IFNA(VLOOKUP(Table2[[#This Row],[tee time6]],'Stableford - groups'!$A$3:$F$20,5,FALSE),"")</f>
        <v/>
      </c>
      <c r="AM91" s="68" t="str">
        <f>IF(AND(Table2[[#This Row],[gap6]]="NA",Table2[[#This Row],[round6]]&lt;4/24),0,IFERROR((MAX(starting_interval,IF(Table2[[#This Row],[gap6]]="NA",Table2[[#This Row],[avg gap]],Table2[[#This Row],[gap6]]))-starting_interval)*Table2[[#This Row],[followers6]]/Table2[[#This Row],[group size6]],""))</f>
        <v/>
      </c>
      <c r="AN91" s="32" t="str">
        <f>_xlfn.IFNA(VLOOKUP(Table2[[#This Row],[Name]],'Turkey Shoot - players'!$A$2:$B$65,2,FALSE),"")</f>
        <v/>
      </c>
      <c r="AO91" s="59" t="str">
        <f>IF(Table2[[#This Row],[tee time7]]&lt;&gt;"",COUNTIF('Turkey Shoot - players'!$B$2:$B$65,"="&amp;Table2[[#This Row],[tee time7]]),"")</f>
        <v/>
      </c>
      <c r="AP91" s="59" t="str">
        <f>_xlfn.IFNA(VLOOKUP(Table2[[#This Row],[tee time7]],'Stableford - groups'!$A$3:$F$20,6,FALSE),"")</f>
        <v/>
      </c>
      <c r="AQ91" s="11" t="str">
        <f>_xlfn.IFNA(VLOOKUP(Table2[[#This Row],[tee time7]],'Turkey Shoot - groups'!$A$3:$F$20,4,FALSE),"")</f>
        <v/>
      </c>
      <c r="AR91" s="13" t="str">
        <f>_xlfn.IFNA(VLOOKUP(Table2[[#This Row],[tee time7]],'Turkey Shoot - groups'!$A$3:$F$20,5,FALSE),"")</f>
        <v/>
      </c>
      <c r="AS91" s="68" t="str">
        <f>IF(AND(Table2[[#This Row],[gap7]]="NA",Table2[[#This Row],[round7]]&lt;4/24),0,IFERROR((MAX(starting_interval,IF(Table2[[#This Row],[gap7]]="NA",Table2[[#This Row],[avg gap]],Table2[[#This Row],[gap7]]))-starting_interval)*Table2[[#This Row],[followers7]]/Table2[[#This Row],[group size7]],""))</f>
        <v/>
      </c>
      <c r="AT91" s="72">
        <f>COUNT(Table2[[#This Row],[Tee time1]],Table2[[#This Row],[tee time2]],Table2[[#This Row],[tee time3]],Table2[[#This Row],[tee time4]],Table2[[#This Row],[tee time5]],Table2[[#This Row],[tee time6]],Table2[[#This Row],[tee time7]])</f>
        <v>2</v>
      </c>
      <c r="AU91" s="4">
        <f>IFERROR(AVERAGE(Table2[[#This Row],[Tee time1]],Table2[[#This Row],[tee time2]],Table2[[#This Row],[tee time3]],Table2[[#This Row],[tee time4]],Table2[[#This Row],[tee time5]],Table2[[#This Row],[tee time6]],Table2[[#This Row],[tee time7]]),"")</f>
        <v>0.39583333333333337</v>
      </c>
      <c r="AV91" s="12">
        <f>IFERROR(MEDIAN(Table2[[#This Row],[round1]],Table2[[#This Row],[Round2]],Table2[[#This Row],[round3]],Table2[[#This Row],[round4]],Table2[[#This Row],[round5]],Table2[[#This Row],[round6]],Table2[[#This Row],[round7]]),"")</f>
        <v>0.19965277777777779</v>
      </c>
      <c r="AW91" s="11">
        <f>IFERROR(AVERAGE(Table2[[#This Row],[gap1]],Table2[[#This Row],[gap2]],Table2[[#This Row],[gap3]],Table2[[#This Row],[gap4]],Table2[[#This Row],[gap5]],Table2[[#This Row],[gap6]],Table2[[#This Row],[gap7]]),"")</f>
        <v>1.1805555555555599E-2</v>
      </c>
      <c r="AX91" s="9">
        <f>IFERROR((Table2[[#This Row],[avg gap]]-starting_interval)*24*60*Table2[[#This Row],[Count]],"NA")</f>
        <v>14.000000000000124</v>
      </c>
      <c r="AY9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6.9444444444452871E-3</v>
      </c>
      <c r="AZ91" s="2"/>
    </row>
    <row r="92" spans="1:52" x14ac:dyDescent="0.3">
      <c r="A92" s="10" t="s">
        <v>84</v>
      </c>
      <c r="B92" s="1" t="s">
        <v>323</v>
      </c>
      <c r="C92" s="19">
        <v>18.8</v>
      </c>
      <c r="D92" s="32" t="str">
        <f>_xlfn.IFNA(VLOOKUP(Table2[[#This Row],[Name]],'Classic day 1 - players'!$A$2:$B$64,2,FALSE),"")</f>
        <v/>
      </c>
      <c r="E92" s="33" t="str">
        <f>IF(Table2[[#This Row],[Tee time1]]&lt;&gt;"",COUNTIF('Classic day 1 - players'!$B$2:$B$64,"="&amp;Table2[[#This Row],[Tee time1]]),"")</f>
        <v/>
      </c>
      <c r="F92" s="4" t="str">
        <f>_xlfn.IFNA(VLOOKUP(Table2[[#This Row],[Tee time1]],'Classic day 1 - groups'!$A$3:$F$20,6,FALSE),"")</f>
        <v/>
      </c>
      <c r="G92" s="11" t="str">
        <f>_xlfn.IFNA(VLOOKUP(Table2[[#This Row],[Tee time1]],'Classic day 1 - groups'!$A$3:$F$20,4,FALSE),"")</f>
        <v/>
      </c>
      <c r="H92" s="12" t="str">
        <f>_xlfn.IFNA(VLOOKUP(Table2[[#This Row],[Tee time1]],'Classic day 1 - groups'!$A$3:$F$20,5,FALSE),"")</f>
        <v/>
      </c>
      <c r="I92" s="69" t="str">
        <f>IFERROR((MAX(starting_interval,IF(Table2[[#This Row],[gap1]]="NA",Table2[[#This Row],[avg gap]],Table2[[#This Row],[gap1]]))-starting_interval)*Table2[[#This Row],[followers1]]/Table2[[#This Row],[group size]],"")</f>
        <v/>
      </c>
      <c r="J92" s="32" t="str">
        <f>_xlfn.IFNA(VLOOKUP(Table2[[#This Row],[Name]],'Classic day 2 - players'!$A$2:$B$64,2,FALSE),"")</f>
        <v/>
      </c>
      <c r="K92" s="4" t="str">
        <f>IF(Table2[[#This Row],[tee time2]]&lt;&gt;"",COUNTIF('Classic day 2 - players'!$B$2:$B$64,"="&amp;Table2[[#This Row],[tee time2]]),"")</f>
        <v/>
      </c>
      <c r="L92" s="4" t="str">
        <f>_xlfn.IFNA(VLOOKUP(Table2[[#This Row],[tee time2]],'Classic day 2 - groups'!$A$3:$F$20,6,FALSE),"")</f>
        <v/>
      </c>
      <c r="M92" s="4" t="str">
        <f>_xlfn.IFNA(VLOOKUP(Table2[[#This Row],[tee time2]],'Classic day 2 - groups'!$A$3:$F$20,4,FALSE),"")</f>
        <v/>
      </c>
      <c r="N92" s="65" t="str">
        <f>_xlfn.IFNA(VLOOKUP(Table2[[#This Row],[tee time2]],'Classic day 2 - groups'!$A$3:$F$20,5,FALSE),"")</f>
        <v/>
      </c>
      <c r="O92" s="69" t="str">
        <f>IFERROR((MAX(starting_interval,IF(Table2[[#This Row],[gap2]]="NA",Table2[[#This Row],[avg gap]],Table2[[#This Row],[gap2]]))-starting_interval)*Table2[[#This Row],[followers2]]/Table2[[#This Row],[group size2]],"")</f>
        <v/>
      </c>
      <c r="P92" s="32" t="str">
        <f>_xlfn.IFNA(VLOOKUP(Table2[[#This Row],[Name]],'Summer FD - players'!$A$2:$B$65,2,FALSE),"")</f>
        <v/>
      </c>
      <c r="Q92" s="59" t="str">
        <f>IF(Table2[[#This Row],[tee time3]]&lt;&gt;"",COUNTIF('Summer FD - players'!$B$2:$B$65,"="&amp;Table2[[#This Row],[tee time3]]),"")</f>
        <v/>
      </c>
      <c r="R92" s="59" t="str">
        <f>_xlfn.IFNA(VLOOKUP(Table2[[#This Row],[tee time3]],'Summer FD - groups'!$A$3:$F$20,6,FALSE),"")</f>
        <v/>
      </c>
      <c r="S92" s="4" t="str">
        <f>_xlfn.IFNA(VLOOKUP(Table2[[#This Row],[tee time3]],'Summer FD - groups'!$A$3:$F$20,4,FALSE),"")</f>
        <v/>
      </c>
      <c r="T92" s="13" t="str">
        <f>_xlfn.IFNA(VLOOKUP(Table2[[#This Row],[tee time3]],'Summer FD - groups'!$A$3:$F$20,5,FALSE),"")</f>
        <v/>
      </c>
      <c r="U92" s="69" t="str">
        <f>IF(Table2[[#This Row],[avg gap]]&lt;&gt;"",IFERROR((MAX(starting_interval,IF(Table2[[#This Row],[gap3]]="NA",Table2[[#This Row],[avg gap]],Table2[[#This Row],[gap3]]))-starting_interval)*Table2[[#This Row],[followers3]]/Table2[[#This Row],[group size3]],""),"")</f>
        <v/>
      </c>
      <c r="V92" s="32" t="str">
        <f>_xlfn.IFNA(VLOOKUP(Table2[[#This Row],[Name]],'6-6-6 - players'!$A$2:$B$69,2,FALSE),"")</f>
        <v/>
      </c>
      <c r="W92" s="59" t="str">
        <f>IF(Table2[[#This Row],[tee time4]]&lt;&gt;"",COUNTIF('6-6-6 - players'!$B$2:$B$69,"="&amp;Table2[[#This Row],[tee time4]]),"")</f>
        <v/>
      </c>
      <c r="X92" s="59" t="str">
        <f>_xlfn.IFNA(VLOOKUP(Table2[[#This Row],[tee time4]],'6-6-6 - groups'!$A$3:$F$20,6,FALSE),"")</f>
        <v/>
      </c>
      <c r="Y92" s="4" t="str">
        <f>_xlfn.IFNA(VLOOKUP(Table2[[#This Row],[tee time4]],'6-6-6 - groups'!$A$3:$F$20,4,FALSE),"")</f>
        <v/>
      </c>
      <c r="Z92" s="13" t="str">
        <f>_xlfn.IFNA(VLOOKUP(Table2[[#This Row],[tee time4]],'6-6-6 - groups'!$A$3:$F$20,5,FALSE),"")</f>
        <v/>
      </c>
      <c r="AA92" s="69" t="str">
        <f>IF(Table2[[#This Row],[avg gap]]&lt;&gt;"",IFERROR((MAX(starting_interval,IF(Table2[[#This Row],[gap4]]="NA",Table2[[#This Row],[avg gap]],Table2[[#This Row],[gap4]]))-starting_interval)*Table2[[#This Row],[followers4]]/Table2[[#This Row],[group size4]],""),"")</f>
        <v/>
      </c>
      <c r="AB92" s="32" t="str">
        <f>_xlfn.IFNA(VLOOKUP(Table2[[#This Row],[Name]],'Fall FD - players'!$A$2:$B$65,2,FALSE),"")</f>
        <v/>
      </c>
      <c r="AC92" s="59" t="str">
        <f>IF(Table2[[#This Row],[tee time5]]&lt;&gt;"",COUNTIF('Fall FD - players'!$B$2:$B$65,"="&amp;Table2[[#This Row],[tee time5]]),"")</f>
        <v/>
      </c>
      <c r="AD92" s="59" t="str">
        <f>_xlfn.IFNA(VLOOKUP(Table2[[#This Row],[tee time5]],'Fall FD - groups'!$A$3:$F$20,6,FALSE),"")</f>
        <v/>
      </c>
      <c r="AE92" s="4" t="str">
        <f>_xlfn.IFNA(VLOOKUP(Table2[[#This Row],[tee time5]],'Fall FD - groups'!$A$3:$F$20,4,FALSE),"")</f>
        <v/>
      </c>
      <c r="AF92" s="13" t="str">
        <f>IFERROR(MIN(_xlfn.IFNA(VLOOKUP(Table2[[#This Row],[tee time5]],'Fall FD - groups'!$A$3:$F$20,5,FALSE),""),starting_interval + Table2[[#This Row],[round5]] - standard_round_time),"")</f>
        <v/>
      </c>
      <c r="AG92" s="69" t="str">
        <f>IF(AND(Table2[[#This Row],[gap5]]="NA",Table2[[#This Row],[round5]]&lt;4/24),0,IFERROR((MAX(starting_interval,IF(Table2[[#This Row],[gap5]]="NA",Table2[[#This Row],[avg gap]],Table2[[#This Row],[gap5]]))-starting_interval)*Table2[[#This Row],[followers5]]/Table2[[#This Row],[group size5]],""))</f>
        <v/>
      </c>
      <c r="AH92" s="32" t="str">
        <f>_xlfn.IFNA(VLOOKUP(Table2[[#This Row],[Name]],'Stableford - players'!$A$2:$B$65,2,FALSE),"")</f>
        <v/>
      </c>
      <c r="AI92" s="59" t="str">
        <f>IF(Table2[[#This Row],[tee time6]]&lt;&gt;"",COUNTIF('Stableford - players'!$B$2:$B$65,"="&amp;Table2[[#This Row],[tee time6]]),"")</f>
        <v/>
      </c>
      <c r="AJ92" s="59" t="str">
        <f>_xlfn.IFNA(VLOOKUP(Table2[[#This Row],[tee time6]],'Stableford - groups'!$A$3:$F$20,6,FALSE),"")</f>
        <v/>
      </c>
      <c r="AK92" s="11" t="str">
        <f>_xlfn.IFNA(VLOOKUP(Table2[[#This Row],[tee time6]],'Stableford - groups'!$A$3:$F$20,4,FALSE),"")</f>
        <v/>
      </c>
      <c r="AL92" s="13" t="str">
        <f>_xlfn.IFNA(VLOOKUP(Table2[[#This Row],[tee time6]],'Stableford - groups'!$A$3:$F$20,5,FALSE),"")</f>
        <v/>
      </c>
      <c r="AM92" s="68" t="str">
        <f>IF(AND(Table2[[#This Row],[gap6]]="NA",Table2[[#This Row],[round6]]&lt;4/24),0,IFERROR((MAX(starting_interval,IF(Table2[[#This Row],[gap6]]="NA",Table2[[#This Row],[avg gap]],Table2[[#This Row],[gap6]]))-starting_interval)*Table2[[#This Row],[followers6]]/Table2[[#This Row],[group size6]],""))</f>
        <v/>
      </c>
      <c r="AN92" s="32">
        <f>_xlfn.IFNA(VLOOKUP(Table2[[#This Row],[Name]],'Turkey Shoot - players'!$A$2:$B$65,2,FALSE),"")</f>
        <v>0.40277777777777773</v>
      </c>
      <c r="AO92" s="59">
        <f>IF(Table2[[#This Row],[tee time7]]&lt;&gt;"",COUNTIF('Turkey Shoot - players'!$B$2:$B$65,"="&amp;Table2[[#This Row],[tee time7]]),"")</f>
        <v>4</v>
      </c>
      <c r="AP92" s="59">
        <f>_xlfn.IFNA(VLOOKUP(Table2[[#This Row],[tee time7]],'Stableford - groups'!$A$3:$F$20,6,FALSE),"")</f>
        <v>20</v>
      </c>
      <c r="AQ92" s="11">
        <f>_xlfn.IFNA(VLOOKUP(Table2[[#This Row],[tee time7]],'Turkey Shoot - groups'!$A$3:$F$20,4,FALSE),"")</f>
        <v>0.17291666666666666</v>
      </c>
      <c r="AR92" s="13">
        <f>_xlfn.IFNA(VLOOKUP(Table2[[#This Row],[tee time7]],'Turkey Shoot - groups'!$A$3:$F$20,5,FALSE),"")</f>
        <v>8.3333333333333332E-3</v>
      </c>
      <c r="AS92" s="68">
        <f>IF(AND(Table2[[#This Row],[gap7]]="NA",Table2[[#This Row],[round7]]&lt;4/24),0,IFERROR((MAX(starting_interval,IF(Table2[[#This Row],[gap7]]="NA",Table2[[#This Row],[avg gap]],Table2[[#This Row],[gap7]]))-starting_interval)*Table2[[#This Row],[followers7]]/Table2[[#This Row],[group size7]],""))</f>
        <v>6.9444444444444458E-3</v>
      </c>
      <c r="AT92" s="72">
        <f>COUNT(Table2[[#This Row],[Tee time1]],Table2[[#This Row],[tee time2]],Table2[[#This Row],[tee time3]],Table2[[#This Row],[tee time4]],Table2[[#This Row],[tee time5]],Table2[[#This Row],[tee time6]],Table2[[#This Row],[tee time7]])</f>
        <v>1</v>
      </c>
      <c r="AU92" s="4">
        <f>IFERROR(AVERAGE(Table2[[#This Row],[Tee time1]],Table2[[#This Row],[tee time2]],Table2[[#This Row],[tee time3]],Table2[[#This Row],[tee time4]],Table2[[#This Row],[tee time5]],Table2[[#This Row],[tee time6]],Table2[[#This Row],[tee time7]]),"")</f>
        <v>0.40277777777777773</v>
      </c>
      <c r="AV92" s="11">
        <f>IFERROR(MEDIAN(Table2[[#This Row],[round1]],Table2[[#This Row],[Round2]],Table2[[#This Row],[round3]],Table2[[#This Row],[round4]],Table2[[#This Row],[round5]],Table2[[#This Row],[round6]],Table2[[#This Row],[round7]]),"")</f>
        <v>0.17291666666666666</v>
      </c>
      <c r="AW92" s="11">
        <f>IFERROR(AVERAGE(Table2[[#This Row],[gap1]],Table2[[#This Row],[gap2]],Table2[[#This Row],[gap3]],Table2[[#This Row],[gap4]],Table2[[#This Row],[gap5]],Table2[[#This Row],[gap6]],Table2[[#This Row],[gap7]]),"")</f>
        <v>8.3333333333333332E-3</v>
      </c>
      <c r="AX92" s="9">
        <f>IFERROR((Table2[[#This Row],[avg gap]]-starting_interval)*24*60*Table2[[#This Row],[Count]],"NA")</f>
        <v>2.0000000000000004</v>
      </c>
      <c r="AY9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6.9444444444444458E-3</v>
      </c>
      <c r="AZ92" s="2"/>
    </row>
    <row r="93" spans="1:52" x14ac:dyDescent="0.3">
      <c r="A93" s="10" t="s">
        <v>9</v>
      </c>
      <c r="B93" s="1" t="s">
        <v>247</v>
      </c>
      <c r="C93" s="19">
        <v>20.3</v>
      </c>
      <c r="D93" s="32" t="str">
        <f>_xlfn.IFNA(VLOOKUP(Table2[[#This Row],[Name]],'Classic day 1 - players'!$A$2:$B$64,2,FALSE),"")</f>
        <v/>
      </c>
      <c r="E93" s="33" t="str">
        <f>IF(Table2[[#This Row],[Tee time1]]&lt;&gt;"",COUNTIF('Classic day 1 - players'!$B$2:$B$64,"="&amp;Table2[[#This Row],[Tee time1]]),"")</f>
        <v/>
      </c>
      <c r="F93" s="33" t="str">
        <f>_xlfn.IFNA(VLOOKUP(Table2[[#This Row],[Tee time1]],'Classic day 1 - groups'!$A$3:$F$20,6,FALSE),"")</f>
        <v/>
      </c>
      <c r="G93" s="11" t="str">
        <f>_xlfn.IFNA(VLOOKUP(Table2[[#This Row],[Tee time1]],'Classic day 1 - groups'!$A$3:$F$20,4,FALSE),"")</f>
        <v/>
      </c>
      <c r="H93" s="12" t="str">
        <f>_xlfn.IFNA(VLOOKUP(Table2[[#This Row],[Tee time1]],'Classic day 1 - groups'!$A$3:$F$20,5,FALSE),"")</f>
        <v/>
      </c>
      <c r="I93" s="69" t="str">
        <f>IFERROR((MAX(starting_interval,IF(Table2[[#This Row],[gap1]]="NA",Table2[[#This Row],[avg gap]],Table2[[#This Row],[gap1]]))-starting_interval)*Table2[[#This Row],[followers1]]/Table2[[#This Row],[group size]],"")</f>
        <v/>
      </c>
      <c r="J93" s="32" t="str">
        <f>_xlfn.IFNA(VLOOKUP(Table2[[#This Row],[Name]],'Classic day 2 - players'!$A$2:$B$64,2,FALSE),"")</f>
        <v/>
      </c>
      <c r="K93" s="33" t="str">
        <f>IF(Table2[[#This Row],[tee time2]]&lt;&gt;"",COUNTIF('Classic day 2 - players'!$B$2:$B$64,"="&amp;Table2[[#This Row],[tee time2]]),"")</f>
        <v/>
      </c>
      <c r="L93" s="33" t="str">
        <f>_xlfn.IFNA(VLOOKUP(Table2[[#This Row],[tee time2]],'Classic day 2 - groups'!$A$3:$F$20,6,FALSE),"")</f>
        <v/>
      </c>
      <c r="M93" s="4" t="str">
        <f>_xlfn.IFNA(VLOOKUP(Table2[[#This Row],[tee time2]],'Classic day 2 - groups'!$A$3:$F$20,4,FALSE),"")</f>
        <v/>
      </c>
      <c r="N93" s="65" t="str">
        <f>_xlfn.IFNA(VLOOKUP(Table2[[#This Row],[tee time2]],'Classic day 2 - groups'!$A$3:$F$20,5,FALSE),"")</f>
        <v/>
      </c>
      <c r="O93" s="69" t="str">
        <f>IFERROR((MAX(starting_interval,IF(Table2[[#This Row],[gap2]]="NA",Table2[[#This Row],[avg gap]],Table2[[#This Row],[gap2]]))-starting_interval)*Table2[[#This Row],[followers2]]/Table2[[#This Row],[group size2]],"")</f>
        <v/>
      </c>
      <c r="P93" s="32" t="str">
        <f>_xlfn.IFNA(VLOOKUP(Table2[[#This Row],[Name]],'Summer FD - players'!$A$2:$B$65,2,FALSE),"")</f>
        <v/>
      </c>
      <c r="Q93" s="59" t="str">
        <f>IF(Table2[[#This Row],[tee time3]]&lt;&gt;"",COUNTIF('Summer FD - players'!$B$2:$B$65,"="&amp;Table2[[#This Row],[tee time3]]),"")</f>
        <v/>
      </c>
      <c r="R93" s="59" t="str">
        <f>_xlfn.IFNA(VLOOKUP(Table2[[#This Row],[tee time3]],'Summer FD - groups'!$A$3:$F$20,6,FALSE),"")</f>
        <v/>
      </c>
      <c r="S93" s="4" t="str">
        <f>_xlfn.IFNA(VLOOKUP(Table2[[#This Row],[tee time3]],'Summer FD - groups'!$A$3:$F$20,4,FALSE),"")</f>
        <v/>
      </c>
      <c r="T93" s="13" t="str">
        <f>_xlfn.IFNA(VLOOKUP(Table2[[#This Row],[tee time3]],'Summer FD - groups'!$A$3:$F$20,5,FALSE),"")</f>
        <v/>
      </c>
      <c r="U93" s="69" t="str">
        <f>IF(Table2[[#This Row],[avg gap]]&lt;&gt;"",IFERROR((MAX(starting_interval,IF(Table2[[#This Row],[gap3]]="NA",Table2[[#This Row],[avg gap]],Table2[[#This Row],[gap3]]))-starting_interval)*Table2[[#This Row],[followers3]]/Table2[[#This Row],[group size3]],""),"")</f>
        <v/>
      </c>
      <c r="V93" s="32">
        <f>_xlfn.IFNA(VLOOKUP(Table2[[#This Row],[Name]],'6-6-6 - players'!$A$2:$B$69,2,FALSE),"")</f>
        <v>0.38194444444444442</v>
      </c>
      <c r="W93" s="59">
        <f>IF(Table2[[#This Row],[tee time4]]&lt;&gt;"",COUNTIF('6-6-6 - players'!$B$2:$B$69,"="&amp;Table2[[#This Row],[tee time4]]),"")</f>
        <v>4</v>
      </c>
      <c r="X93" s="59">
        <f>_xlfn.IFNA(VLOOKUP(Table2[[#This Row],[tee time4]],'6-6-6 - groups'!$A$3:$F$20,6,FALSE),"")</f>
        <v>40</v>
      </c>
      <c r="Y93" s="4">
        <f>_xlfn.IFNA(VLOOKUP(Table2[[#This Row],[tee time4]],'6-6-6 - groups'!$A$3:$F$20,4,FALSE),"")</f>
        <v>0.17708333333333331</v>
      </c>
      <c r="Z93" s="13">
        <f>_xlfn.IFNA(VLOOKUP(Table2[[#This Row],[tee time4]],'6-6-6 - groups'!$A$3:$F$20,5,FALSE),"")</f>
        <v>7.6388888888888618E-3</v>
      </c>
      <c r="AA93" s="69">
        <f>IF(Table2[[#This Row],[avg gap]]&lt;&gt;"",IFERROR((MAX(starting_interval,IF(Table2[[#This Row],[gap4]]="NA",Table2[[#This Row],[avg gap]],Table2[[#This Row],[gap4]]))-starting_interval)*Table2[[#This Row],[followers4]]/Table2[[#This Row],[group size4]],""),"")</f>
        <v>6.9444444444441769E-3</v>
      </c>
      <c r="AB93" s="32" t="str">
        <f>_xlfn.IFNA(VLOOKUP(Table2[[#This Row],[Name]],'Fall FD - players'!$A$2:$B$65,2,FALSE),"")</f>
        <v/>
      </c>
      <c r="AC93" s="59" t="str">
        <f>IF(Table2[[#This Row],[tee time5]]&lt;&gt;"",COUNTIF('Fall FD - players'!$B$2:$B$65,"="&amp;Table2[[#This Row],[tee time5]]),"")</f>
        <v/>
      </c>
      <c r="AD93" s="59" t="str">
        <f>_xlfn.IFNA(VLOOKUP(Table2[[#This Row],[tee time5]],'Fall FD - groups'!$A$3:$F$20,6,FALSE),"")</f>
        <v/>
      </c>
      <c r="AE93" s="4" t="str">
        <f>_xlfn.IFNA(VLOOKUP(Table2[[#This Row],[tee time5]],'Fall FD - groups'!$A$3:$F$20,4,FALSE),"")</f>
        <v/>
      </c>
      <c r="AF93" s="13" t="str">
        <f>IFERROR(MIN(_xlfn.IFNA(VLOOKUP(Table2[[#This Row],[tee time5]],'Fall FD - groups'!$A$3:$F$20,5,FALSE),""),starting_interval + Table2[[#This Row],[round5]] - standard_round_time),"")</f>
        <v/>
      </c>
      <c r="AG93" s="69" t="str">
        <f>IF(AND(Table2[[#This Row],[gap5]]="NA",Table2[[#This Row],[round5]]&lt;4/24),0,IFERROR((MAX(starting_interval,IF(Table2[[#This Row],[gap5]]="NA",Table2[[#This Row],[avg gap]],Table2[[#This Row],[gap5]]))-starting_interval)*Table2[[#This Row],[followers5]]/Table2[[#This Row],[group size5]],""))</f>
        <v/>
      </c>
      <c r="AH93" s="32" t="str">
        <f>_xlfn.IFNA(VLOOKUP(Table2[[#This Row],[Name]],'Stableford - players'!$A$2:$B$65,2,FALSE),"")</f>
        <v/>
      </c>
      <c r="AI93" s="59" t="str">
        <f>IF(Table2[[#This Row],[tee time6]]&lt;&gt;"",COUNTIF('Stableford - players'!$B$2:$B$65,"="&amp;Table2[[#This Row],[tee time6]]),"")</f>
        <v/>
      </c>
      <c r="AJ93" s="59" t="str">
        <f>_xlfn.IFNA(VLOOKUP(Table2[[#This Row],[tee time6]],'Stableford - groups'!$A$3:$F$20,6,FALSE),"")</f>
        <v/>
      </c>
      <c r="AK93" s="11" t="str">
        <f>_xlfn.IFNA(VLOOKUP(Table2[[#This Row],[tee time6]],'Stableford - groups'!$A$3:$F$20,4,FALSE),"")</f>
        <v/>
      </c>
      <c r="AL93" s="13" t="str">
        <f>_xlfn.IFNA(VLOOKUP(Table2[[#This Row],[tee time6]],'Stableford - groups'!$A$3:$F$20,5,FALSE),"")</f>
        <v/>
      </c>
      <c r="AM93" s="68" t="str">
        <f>IF(AND(Table2[[#This Row],[gap6]]="NA",Table2[[#This Row],[round6]]&lt;4/24),0,IFERROR((MAX(starting_interval,IF(Table2[[#This Row],[gap6]]="NA",Table2[[#This Row],[avg gap]],Table2[[#This Row],[gap6]]))-starting_interval)*Table2[[#This Row],[followers6]]/Table2[[#This Row],[group size6]],""))</f>
        <v/>
      </c>
      <c r="AN93" s="32" t="str">
        <f>_xlfn.IFNA(VLOOKUP(Table2[[#This Row],[Name]],'Turkey Shoot - players'!$A$2:$B$65,2,FALSE),"")</f>
        <v/>
      </c>
      <c r="AO93" s="59" t="str">
        <f>IF(Table2[[#This Row],[tee time7]]&lt;&gt;"",COUNTIF('Turkey Shoot - players'!$B$2:$B$65,"="&amp;Table2[[#This Row],[tee time7]]),"")</f>
        <v/>
      </c>
      <c r="AP93" s="59" t="str">
        <f>_xlfn.IFNA(VLOOKUP(Table2[[#This Row],[tee time7]],'Stableford - groups'!$A$3:$F$20,6,FALSE),"")</f>
        <v/>
      </c>
      <c r="AQ93" s="11" t="str">
        <f>_xlfn.IFNA(VLOOKUP(Table2[[#This Row],[tee time7]],'Turkey Shoot - groups'!$A$3:$F$20,4,FALSE),"")</f>
        <v/>
      </c>
      <c r="AR93" s="13" t="str">
        <f>_xlfn.IFNA(VLOOKUP(Table2[[#This Row],[tee time7]],'Turkey Shoot - groups'!$A$3:$F$20,5,FALSE),"")</f>
        <v/>
      </c>
      <c r="AS93" s="68" t="str">
        <f>IF(AND(Table2[[#This Row],[gap7]]="NA",Table2[[#This Row],[round7]]&lt;4/24),0,IFERROR((MAX(starting_interval,IF(Table2[[#This Row],[gap7]]="NA",Table2[[#This Row],[avg gap]],Table2[[#This Row],[gap7]]))-starting_interval)*Table2[[#This Row],[followers7]]/Table2[[#This Row],[group size7]],""))</f>
        <v/>
      </c>
      <c r="AT93" s="72">
        <f>COUNT(Table2[[#This Row],[Tee time1]],Table2[[#This Row],[tee time2]],Table2[[#This Row],[tee time3]],Table2[[#This Row],[tee time4]],Table2[[#This Row],[tee time5]],Table2[[#This Row],[tee time6]],Table2[[#This Row],[tee time7]])</f>
        <v>1</v>
      </c>
      <c r="AU93" s="4">
        <f>IFERROR(AVERAGE(Table2[[#This Row],[Tee time1]],Table2[[#This Row],[tee time2]],Table2[[#This Row],[tee time3]],Table2[[#This Row],[tee time4]],Table2[[#This Row],[tee time5]],Table2[[#This Row],[tee time6]],Table2[[#This Row],[tee time7]]),"")</f>
        <v>0.38194444444444442</v>
      </c>
      <c r="AV93" s="11">
        <f>IFERROR(MEDIAN(Table2[[#This Row],[round1]],Table2[[#This Row],[Round2]],Table2[[#This Row],[round3]],Table2[[#This Row],[round4]],Table2[[#This Row],[round5]],Table2[[#This Row],[round6]],Table2[[#This Row],[round7]]),"")</f>
        <v>0.17708333333333331</v>
      </c>
      <c r="AW93" s="11">
        <f>IFERROR(AVERAGE(Table2[[#This Row],[gap1]],Table2[[#This Row],[gap2]],Table2[[#This Row],[gap3]],Table2[[#This Row],[gap4]],Table2[[#This Row],[gap5]],Table2[[#This Row],[gap6]],Table2[[#This Row],[gap7]]),"")</f>
        <v>7.6388888888888618E-3</v>
      </c>
      <c r="AX93" s="9">
        <f>IFERROR((Table2[[#This Row],[avg gap]]-starting_interval)*24*60*Table2[[#This Row],[Count]],"NA")</f>
        <v>0.99999999999996148</v>
      </c>
      <c r="AY9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6.9444444444441769E-3</v>
      </c>
      <c r="AZ93" s="2"/>
    </row>
    <row r="94" spans="1:52" x14ac:dyDescent="0.3">
      <c r="A94" s="10" t="s">
        <v>21</v>
      </c>
      <c r="B94" s="1" t="s">
        <v>259</v>
      </c>
      <c r="C94" s="19">
        <v>14.2</v>
      </c>
      <c r="D94" s="32" t="str">
        <f>_xlfn.IFNA(VLOOKUP(Table2[[#This Row],[Name]],'Classic day 1 - players'!$A$2:$B$64,2,FALSE),"")</f>
        <v/>
      </c>
      <c r="E94" s="33" t="str">
        <f>IF(Table2[[#This Row],[Tee time1]]&lt;&gt;"",COUNTIF('Classic day 1 - players'!$B$2:$B$64,"="&amp;Table2[[#This Row],[Tee time1]]),"")</f>
        <v/>
      </c>
      <c r="F94" s="33" t="str">
        <f>_xlfn.IFNA(VLOOKUP(Table2[[#This Row],[Tee time1]],'Classic day 1 - groups'!$A$3:$F$20,6,FALSE),"")</f>
        <v/>
      </c>
      <c r="G94" s="11" t="str">
        <f>_xlfn.IFNA(VLOOKUP(Table2[[#This Row],[Tee time1]],'Classic day 1 - groups'!$A$3:$F$20,4,FALSE),"")</f>
        <v/>
      </c>
      <c r="H94" s="12" t="str">
        <f>_xlfn.IFNA(VLOOKUP(Table2[[#This Row],[Tee time1]],'Classic day 1 - groups'!$A$3:$F$20,5,FALSE),"")</f>
        <v/>
      </c>
      <c r="I94" s="69" t="str">
        <f>IFERROR((MAX(starting_interval,IF(Table2[[#This Row],[gap1]]="NA",Table2[[#This Row],[avg gap]],Table2[[#This Row],[gap1]]))-starting_interval)*Table2[[#This Row],[followers1]]/Table2[[#This Row],[group size]],"")</f>
        <v/>
      </c>
      <c r="J94" s="32" t="str">
        <f>_xlfn.IFNA(VLOOKUP(Table2[[#This Row],[Name]],'Classic day 2 - players'!$A$2:$B$64,2,FALSE),"")</f>
        <v/>
      </c>
      <c r="K94" s="33" t="str">
        <f>IF(Table2[[#This Row],[tee time2]]&lt;&gt;"",COUNTIF('Classic day 2 - players'!$B$2:$B$64,"="&amp;Table2[[#This Row],[tee time2]]),"")</f>
        <v/>
      </c>
      <c r="L94" s="33" t="str">
        <f>_xlfn.IFNA(VLOOKUP(Table2[[#This Row],[tee time2]],'Classic day 2 - groups'!$A$3:$F$20,6,FALSE),"")</f>
        <v/>
      </c>
      <c r="M94" s="4" t="str">
        <f>_xlfn.IFNA(VLOOKUP(Table2[[#This Row],[tee time2]],'Classic day 2 - groups'!$A$3:$F$20,4,FALSE),"")</f>
        <v/>
      </c>
      <c r="N94" s="65" t="str">
        <f>_xlfn.IFNA(VLOOKUP(Table2[[#This Row],[tee time2]],'Classic day 2 - groups'!$A$3:$F$20,5,FALSE),"")</f>
        <v/>
      </c>
      <c r="O94" s="69" t="str">
        <f>IFERROR((MAX(starting_interval,IF(Table2[[#This Row],[gap2]]="NA",Table2[[#This Row],[avg gap]],Table2[[#This Row],[gap2]]))-starting_interval)*Table2[[#This Row],[followers2]]/Table2[[#This Row],[group size2]],"")</f>
        <v/>
      </c>
      <c r="P94" s="32" t="str">
        <f>_xlfn.IFNA(VLOOKUP(Table2[[#This Row],[Name]],'Summer FD - players'!$A$2:$B$65,2,FALSE),"")</f>
        <v/>
      </c>
      <c r="Q94" s="59" t="str">
        <f>IF(Table2[[#This Row],[tee time3]]&lt;&gt;"",COUNTIF('Summer FD - players'!$B$2:$B$65,"="&amp;Table2[[#This Row],[tee time3]]),"")</f>
        <v/>
      </c>
      <c r="R94" s="59" t="str">
        <f>_xlfn.IFNA(VLOOKUP(Table2[[#This Row],[tee time3]],'Summer FD - groups'!$A$3:$F$20,6,FALSE),"")</f>
        <v/>
      </c>
      <c r="S94" s="4" t="str">
        <f>_xlfn.IFNA(VLOOKUP(Table2[[#This Row],[tee time3]],'Summer FD - groups'!$A$3:$F$20,4,FALSE),"")</f>
        <v/>
      </c>
      <c r="T94" s="13" t="str">
        <f>_xlfn.IFNA(VLOOKUP(Table2[[#This Row],[tee time3]],'Summer FD - groups'!$A$3:$F$20,5,FALSE),"")</f>
        <v/>
      </c>
      <c r="U94" s="69" t="str">
        <f>IF(Table2[[#This Row],[avg gap]]&lt;&gt;"",IFERROR((MAX(starting_interval,IF(Table2[[#This Row],[gap3]]="NA",Table2[[#This Row],[avg gap]],Table2[[#This Row],[gap3]]))-starting_interval)*Table2[[#This Row],[followers3]]/Table2[[#This Row],[group size3]],""),"")</f>
        <v/>
      </c>
      <c r="V94" s="32">
        <f>_xlfn.IFNA(VLOOKUP(Table2[[#This Row],[Name]],'6-6-6 - players'!$A$2:$B$69,2,FALSE),"")</f>
        <v>0.38194444444444442</v>
      </c>
      <c r="W94" s="59">
        <f>IF(Table2[[#This Row],[tee time4]]&lt;&gt;"",COUNTIF('6-6-6 - players'!$B$2:$B$69,"="&amp;Table2[[#This Row],[tee time4]]),"")</f>
        <v>4</v>
      </c>
      <c r="X94" s="59">
        <f>_xlfn.IFNA(VLOOKUP(Table2[[#This Row],[tee time4]],'6-6-6 - groups'!$A$3:$F$20,6,FALSE),"")</f>
        <v>40</v>
      </c>
      <c r="Y94" s="4">
        <f>_xlfn.IFNA(VLOOKUP(Table2[[#This Row],[tee time4]],'6-6-6 - groups'!$A$3:$F$20,4,FALSE),"")</f>
        <v>0.17708333333333331</v>
      </c>
      <c r="Z94" s="13">
        <f>_xlfn.IFNA(VLOOKUP(Table2[[#This Row],[tee time4]],'6-6-6 - groups'!$A$3:$F$20,5,FALSE),"")</f>
        <v>7.6388888888888618E-3</v>
      </c>
      <c r="AA94" s="69">
        <f>IF(Table2[[#This Row],[avg gap]]&lt;&gt;"",IFERROR((MAX(starting_interval,IF(Table2[[#This Row],[gap4]]="NA",Table2[[#This Row],[avg gap]],Table2[[#This Row],[gap4]]))-starting_interval)*Table2[[#This Row],[followers4]]/Table2[[#This Row],[group size4]],""),"")</f>
        <v>6.9444444444441769E-3</v>
      </c>
      <c r="AB94" s="32" t="str">
        <f>_xlfn.IFNA(VLOOKUP(Table2[[#This Row],[Name]],'Fall FD - players'!$A$2:$B$65,2,FALSE),"")</f>
        <v/>
      </c>
      <c r="AC94" s="59" t="str">
        <f>IF(Table2[[#This Row],[tee time5]]&lt;&gt;"",COUNTIF('Fall FD - players'!$B$2:$B$65,"="&amp;Table2[[#This Row],[tee time5]]),"")</f>
        <v/>
      </c>
      <c r="AD94" s="59" t="str">
        <f>_xlfn.IFNA(VLOOKUP(Table2[[#This Row],[tee time5]],'Fall FD - groups'!$A$3:$F$20,6,FALSE),"")</f>
        <v/>
      </c>
      <c r="AE94" s="4" t="str">
        <f>_xlfn.IFNA(VLOOKUP(Table2[[#This Row],[tee time5]],'Fall FD - groups'!$A$3:$F$20,4,FALSE),"")</f>
        <v/>
      </c>
      <c r="AF94" s="13" t="str">
        <f>IFERROR(MIN(_xlfn.IFNA(VLOOKUP(Table2[[#This Row],[tee time5]],'Fall FD - groups'!$A$3:$F$20,5,FALSE),""),starting_interval + Table2[[#This Row],[round5]] - standard_round_time),"")</f>
        <v/>
      </c>
      <c r="AG94" s="69" t="str">
        <f>IF(AND(Table2[[#This Row],[gap5]]="NA",Table2[[#This Row],[round5]]&lt;4/24),0,IFERROR((MAX(starting_interval,IF(Table2[[#This Row],[gap5]]="NA",Table2[[#This Row],[avg gap]],Table2[[#This Row],[gap5]]))-starting_interval)*Table2[[#This Row],[followers5]]/Table2[[#This Row],[group size5]],""))</f>
        <v/>
      </c>
      <c r="AH94" s="32" t="str">
        <f>_xlfn.IFNA(VLOOKUP(Table2[[#This Row],[Name]],'Stableford - players'!$A$2:$B$65,2,FALSE),"")</f>
        <v/>
      </c>
      <c r="AI94" s="59" t="str">
        <f>IF(Table2[[#This Row],[tee time6]]&lt;&gt;"",COUNTIF('Stableford - players'!$B$2:$B$65,"="&amp;Table2[[#This Row],[tee time6]]),"")</f>
        <v/>
      </c>
      <c r="AJ94" s="59" t="str">
        <f>_xlfn.IFNA(VLOOKUP(Table2[[#This Row],[tee time6]],'Stableford - groups'!$A$3:$F$20,6,FALSE),"")</f>
        <v/>
      </c>
      <c r="AK94" s="11" t="str">
        <f>_xlfn.IFNA(VLOOKUP(Table2[[#This Row],[tee time6]],'Stableford - groups'!$A$3:$F$20,4,FALSE),"")</f>
        <v/>
      </c>
      <c r="AL94" s="13" t="str">
        <f>_xlfn.IFNA(VLOOKUP(Table2[[#This Row],[tee time6]],'Stableford - groups'!$A$3:$F$20,5,FALSE),"")</f>
        <v/>
      </c>
      <c r="AM94" s="68" t="str">
        <f>IF(AND(Table2[[#This Row],[gap6]]="NA",Table2[[#This Row],[round6]]&lt;4/24),0,IFERROR((MAX(starting_interval,IF(Table2[[#This Row],[gap6]]="NA",Table2[[#This Row],[avg gap]],Table2[[#This Row],[gap6]]))-starting_interval)*Table2[[#This Row],[followers6]]/Table2[[#This Row],[group size6]],""))</f>
        <v/>
      </c>
      <c r="AN94" s="32" t="str">
        <f>_xlfn.IFNA(VLOOKUP(Table2[[#This Row],[Name]],'Turkey Shoot - players'!$A$2:$B$65,2,FALSE),"")</f>
        <v/>
      </c>
      <c r="AO94" s="59" t="str">
        <f>IF(Table2[[#This Row],[tee time7]]&lt;&gt;"",COUNTIF('Turkey Shoot - players'!$B$2:$B$65,"="&amp;Table2[[#This Row],[tee time7]]),"")</f>
        <v/>
      </c>
      <c r="AP94" s="59" t="str">
        <f>_xlfn.IFNA(VLOOKUP(Table2[[#This Row],[tee time7]],'Stableford - groups'!$A$3:$F$20,6,FALSE),"")</f>
        <v/>
      </c>
      <c r="AQ94" s="11" t="str">
        <f>_xlfn.IFNA(VLOOKUP(Table2[[#This Row],[tee time7]],'Turkey Shoot - groups'!$A$3:$F$20,4,FALSE),"")</f>
        <v/>
      </c>
      <c r="AR94" s="13" t="str">
        <f>_xlfn.IFNA(VLOOKUP(Table2[[#This Row],[tee time7]],'Turkey Shoot - groups'!$A$3:$F$20,5,FALSE),"")</f>
        <v/>
      </c>
      <c r="AS94" s="68" t="str">
        <f>IF(AND(Table2[[#This Row],[gap7]]="NA",Table2[[#This Row],[round7]]&lt;4/24),0,IFERROR((MAX(starting_interval,IF(Table2[[#This Row],[gap7]]="NA",Table2[[#This Row],[avg gap]],Table2[[#This Row],[gap7]]))-starting_interval)*Table2[[#This Row],[followers7]]/Table2[[#This Row],[group size7]],""))</f>
        <v/>
      </c>
      <c r="AT94" s="72">
        <f>COUNT(Table2[[#This Row],[Tee time1]],Table2[[#This Row],[tee time2]],Table2[[#This Row],[tee time3]],Table2[[#This Row],[tee time4]],Table2[[#This Row],[tee time5]],Table2[[#This Row],[tee time6]],Table2[[#This Row],[tee time7]])</f>
        <v>1</v>
      </c>
      <c r="AU94" s="4">
        <f>IFERROR(AVERAGE(Table2[[#This Row],[Tee time1]],Table2[[#This Row],[tee time2]],Table2[[#This Row],[tee time3]],Table2[[#This Row],[tee time4]],Table2[[#This Row],[tee time5]],Table2[[#This Row],[tee time6]],Table2[[#This Row],[tee time7]]),"")</f>
        <v>0.38194444444444442</v>
      </c>
      <c r="AV94" s="11">
        <f>IFERROR(MEDIAN(Table2[[#This Row],[round1]],Table2[[#This Row],[Round2]],Table2[[#This Row],[round3]],Table2[[#This Row],[round4]],Table2[[#This Row],[round5]],Table2[[#This Row],[round6]],Table2[[#This Row],[round7]]),"")</f>
        <v>0.17708333333333331</v>
      </c>
      <c r="AW94" s="11">
        <f>IFERROR(AVERAGE(Table2[[#This Row],[gap1]],Table2[[#This Row],[gap2]],Table2[[#This Row],[gap3]],Table2[[#This Row],[gap4]],Table2[[#This Row],[gap5]],Table2[[#This Row],[gap6]],Table2[[#This Row],[gap7]]),"")</f>
        <v>7.6388888888888618E-3</v>
      </c>
      <c r="AX94" s="9">
        <f>IFERROR((Table2[[#This Row],[avg gap]]-starting_interval)*24*60*Table2[[#This Row],[Count]],"NA")</f>
        <v>0.99999999999996148</v>
      </c>
      <c r="AY9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6.9444444444441769E-3</v>
      </c>
      <c r="AZ94" s="2"/>
    </row>
    <row r="95" spans="1:52" x14ac:dyDescent="0.3">
      <c r="A95" s="10" t="s">
        <v>479</v>
      </c>
      <c r="B95" s="28"/>
      <c r="C95" s="29"/>
      <c r="D95" s="63" t="str">
        <f>_xlfn.IFNA(VLOOKUP(Table2[[#This Row],[Name]],'Classic day 1 - players'!$A$2:$B$64,2,FALSE),"")</f>
        <v/>
      </c>
      <c r="E95" s="34" t="str">
        <f>IF(Table2[[#This Row],[Tee time1]]&lt;&gt;"",COUNTIF('Classic day 1 - players'!$B$2:$B$64,"="&amp;Table2[[#This Row],[Tee time1]]),"")</f>
        <v/>
      </c>
      <c r="F95" s="34" t="str">
        <f>_xlfn.IFNA(VLOOKUP(Table2[[#This Row],[Tee time1]],'Classic day 1 - groups'!$A$3:$F$20,6,FALSE),"")</f>
        <v/>
      </c>
      <c r="G95" s="30" t="str">
        <f>_xlfn.IFNA(VLOOKUP(Table2[[#This Row],[Tee time1]],'Classic day 1 - groups'!$A$3:$F$20,4,FALSE),"")</f>
        <v/>
      </c>
      <c r="H95" s="64" t="str">
        <f>_xlfn.IFNA(VLOOKUP(Table2[[#This Row],[Tee time1]],'Classic day 1 - groups'!$A$3:$F$20,5,FALSE),"")</f>
        <v/>
      </c>
      <c r="I95" s="69" t="str">
        <f>IFERROR((MAX(starting_interval,IF(Table2[[#This Row],[gap1]]="NA",Table2[[#This Row],[avg gap]],Table2[[#This Row],[gap1]]))-starting_interval)*Table2[[#This Row],[followers1]]/Table2[[#This Row],[group size]],"")</f>
        <v/>
      </c>
      <c r="J95" s="32" t="str">
        <f>_xlfn.IFNA(VLOOKUP(Table2[[#This Row],[Name]],'Classic day 2 - players'!$A$2:$B$64,2,FALSE),"")</f>
        <v/>
      </c>
      <c r="K95" s="34" t="str">
        <f>IF(Table2[[#This Row],[tee time2]]&lt;&gt;"",COUNTIF('Classic day 2 - players'!$B$2:$B$64,"="&amp;Table2[[#This Row],[tee time2]]),"")</f>
        <v/>
      </c>
      <c r="L95" s="34" t="str">
        <f>_xlfn.IFNA(VLOOKUP(Table2[[#This Row],[tee time2]],'Classic day 2 - groups'!$A$3:$F$20,6,FALSE),"")</f>
        <v/>
      </c>
      <c r="M95" s="4" t="str">
        <f>_xlfn.IFNA(VLOOKUP(Table2[[#This Row],[tee time2]],'Classic day 2 - groups'!$A$3:$F$20,4,FALSE),"")</f>
        <v/>
      </c>
      <c r="N95" s="65" t="str">
        <f>_xlfn.IFNA(VLOOKUP(Table2[[#This Row],[tee time2]],'Classic day 2 - groups'!$A$3:$F$20,5,FALSE),"")</f>
        <v/>
      </c>
      <c r="O95" s="69" t="str">
        <f>IFERROR((MAX(starting_interval,IF(Table2[[#This Row],[gap2]]="NA",Table2[[#This Row],[avg gap]],Table2[[#This Row],[gap2]]))-starting_interval)*Table2[[#This Row],[followers2]]/Table2[[#This Row],[group size2]],"")</f>
        <v/>
      </c>
      <c r="P95" s="66" t="str">
        <f>_xlfn.IFNA(VLOOKUP(Table2[[#This Row],[Name]],'Summer FD - players'!$A$2:$B$65,2,FALSE),"")</f>
        <v/>
      </c>
      <c r="Q95" s="60" t="str">
        <f>IF(Table2[[#This Row],[tee time3]]&lt;&gt;"",COUNTIF('Summer FD - players'!$B$2:$B$65,"="&amp;Table2[[#This Row],[tee time3]]),"")</f>
        <v/>
      </c>
      <c r="R95" s="60" t="str">
        <f>_xlfn.IFNA(VLOOKUP(Table2[[#This Row],[tee time3]],'Summer FD - groups'!$A$3:$F$20,6,FALSE),"")</f>
        <v/>
      </c>
      <c r="S95" s="3" t="str">
        <f>_xlfn.IFNA(VLOOKUP(Table2[[#This Row],[tee time3]],'Summer FD - groups'!$A$3:$F$20,4,FALSE),"")</f>
        <v/>
      </c>
      <c r="T95" s="65" t="str">
        <f>_xlfn.IFNA(VLOOKUP(Table2[[#This Row],[tee time3]],'Summer FD - groups'!$A$3:$F$20,5,FALSE),"")</f>
        <v/>
      </c>
      <c r="U95" s="69" t="str">
        <f>IF(Table2[[#This Row],[avg gap]]&lt;&gt;"",IFERROR((MAX(starting_interval,IF(Table2[[#This Row],[gap3]]="NA",Table2[[#This Row],[avg gap]],Table2[[#This Row],[gap3]]))-starting_interval)*Table2[[#This Row],[followers3]]/Table2[[#This Row],[group size3]],""),"")</f>
        <v/>
      </c>
      <c r="V95" s="32">
        <f>_xlfn.IFNA(VLOOKUP(Table2[[#This Row],[Name]],'6-6-6 - players'!$A$2:$B$69,2,FALSE),"")</f>
        <v>0.38194444444444442</v>
      </c>
      <c r="W95" s="60">
        <f>IF(Table2[[#This Row],[tee time4]]&lt;&gt;"",COUNTIF('6-6-6 - players'!$B$2:$B$69,"="&amp;Table2[[#This Row],[tee time4]]),"")</f>
        <v>4</v>
      </c>
      <c r="X95" s="60">
        <f>_xlfn.IFNA(VLOOKUP(Table2[[#This Row],[tee time4]],'6-6-6 - groups'!$A$3:$F$20,6,FALSE),"")</f>
        <v>40</v>
      </c>
      <c r="Y95" s="4">
        <f>_xlfn.IFNA(VLOOKUP(Table2[[#This Row],[tee time4]],'6-6-6 - groups'!$A$3:$F$20,4,FALSE),"")</f>
        <v>0.17708333333333331</v>
      </c>
      <c r="Z95" s="13">
        <f>_xlfn.IFNA(VLOOKUP(Table2[[#This Row],[tee time4]],'6-6-6 - groups'!$A$3:$F$20,5,FALSE),"")</f>
        <v>7.6388888888888618E-3</v>
      </c>
      <c r="AA95" s="69">
        <f>IF(Table2[[#This Row],[avg gap]]&lt;&gt;"",IFERROR((MAX(starting_interval,IF(Table2[[#This Row],[gap4]]="NA",Table2[[#This Row],[avg gap]],Table2[[#This Row],[gap4]]))-starting_interval)*Table2[[#This Row],[followers4]]/Table2[[#This Row],[group size4]],""),"")</f>
        <v>6.9444444444441769E-3</v>
      </c>
      <c r="AB95" s="32" t="str">
        <f>_xlfn.IFNA(VLOOKUP(Table2[[#This Row],[Name]],'Fall FD - players'!$A$2:$B$65,2,FALSE),"")</f>
        <v/>
      </c>
      <c r="AC95" s="60" t="str">
        <f>IF(Table2[[#This Row],[tee time5]]&lt;&gt;"",COUNTIF('Fall FD - players'!$B$2:$B$65,"="&amp;Table2[[#This Row],[tee time5]]),"")</f>
        <v/>
      </c>
      <c r="AD95" s="60" t="str">
        <f>_xlfn.IFNA(VLOOKUP(Table2[[#This Row],[tee time5]],'Fall FD - groups'!$A$3:$F$20,6,FALSE),"")</f>
        <v/>
      </c>
      <c r="AE95" s="4" t="str">
        <f>_xlfn.IFNA(VLOOKUP(Table2[[#This Row],[tee time5]],'Fall FD - groups'!$A$3:$F$20,4,FALSE),"")</f>
        <v/>
      </c>
      <c r="AF95" s="13" t="str">
        <f>IFERROR(MIN(_xlfn.IFNA(VLOOKUP(Table2[[#This Row],[tee time5]],'Fall FD - groups'!$A$3:$F$20,5,FALSE),""),starting_interval + Table2[[#This Row],[round5]] - standard_round_time),"")</f>
        <v/>
      </c>
      <c r="AG95" s="69" t="str">
        <f>IF(AND(Table2[[#This Row],[gap5]]="NA",Table2[[#This Row],[round5]]&lt;4/24),0,IFERROR((MAX(starting_interval,IF(Table2[[#This Row],[gap5]]="NA",Table2[[#This Row],[avg gap]],Table2[[#This Row],[gap5]]))-starting_interval)*Table2[[#This Row],[followers5]]/Table2[[#This Row],[group size5]],""))</f>
        <v/>
      </c>
      <c r="AH95" s="32" t="str">
        <f>_xlfn.IFNA(VLOOKUP(Table2[[#This Row],[Name]],'Stableford - players'!$A$2:$B$65,2,FALSE),"")</f>
        <v/>
      </c>
      <c r="AI95" s="60" t="str">
        <f>IF(Table2[[#This Row],[tee time6]]&lt;&gt;"",COUNTIF('Stableford - players'!$B$2:$B$65,"="&amp;Table2[[#This Row],[tee time6]]),"")</f>
        <v/>
      </c>
      <c r="AJ95" s="59" t="str">
        <f>_xlfn.IFNA(VLOOKUP(Table2[[#This Row],[tee time6]],'Stableford - groups'!$A$3:$F$20,6,FALSE),"")</f>
        <v/>
      </c>
      <c r="AK95" s="11" t="str">
        <f>_xlfn.IFNA(VLOOKUP(Table2[[#This Row],[tee time6]],'Stableford - groups'!$A$3:$F$20,4,FALSE),"")</f>
        <v/>
      </c>
      <c r="AL95" s="13" t="str">
        <f>_xlfn.IFNA(VLOOKUP(Table2[[#This Row],[tee time6]],'Stableford - groups'!$A$3:$F$20,5,FALSE),"")</f>
        <v/>
      </c>
      <c r="AM95" s="68" t="str">
        <f>IF(AND(Table2[[#This Row],[gap6]]="NA",Table2[[#This Row],[round6]]&lt;4/24),0,IFERROR((MAX(starting_interval,IF(Table2[[#This Row],[gap6]]="NA",Table2[[#This Row],[avg gap]],Table2[[#This Row],[gap6]]))-starting_interval)*Table2[[#This Row],[followers6]]/Table2[[#This Row],[group size6]],""))</f>
        <v/>
      </c>
      <c r="AN95" s="32" t="str">
        <f>_xlfn.IFNA(VLOOKUP(Table2[[#This Row],[Name]],'Turkey Shoot - players'!$A$2:$B$65,2,FALSE),"")</f>
        <v/>
      </c>
      <c r="AO95" s="59" t="str">
        <f>IF(Table2[[#This Row],[tee time7]]&lt;&gt;"",COUNTIF('Turkey Shoot - players'!$B$2:$B$65,"="&amp;Table2[[#This Row],[tee time7]]),"")</f>
        <v/>
      </c>
      <c r="AP95" s="59" t="str">
        <f>_xlfn.IFNA(VLOOKUP(Table2[[#This Row],[tee time7]],'Stableford - groups'!$A$3:$F$20,6,FALSE),"")</f>
        <v/>
      </c>
      <c r="AQ95" s="11" t="str">
        <f>_xlfn.IFNA(VLOOKUP(Table2[[#This Row],[tee time7]],'Turkey Shoot - groups'!$A$3:$F$20,4,FALSE),"")</f>
        <v/>
      </c>
      <c r="AR95" s="13" t="str">
        <f>_xlfn.IFNA(VLOOKUP(Table2[[#This Row],[tee time7]],'Turkey Shoot - groups'!$A$3:$F$20,5,FALSE),"")</f>
        <v/>
      </c>
      <c r="AS95" s="68" t="str">
        <f>IF(AND(Table2[[#This Row],[gap7]]="NA",Table2[[#This Row],[round7]]&lt;4/24),0,IFERROR((MAX(starting_interval,IF(Table2[[#This Row],[gap7]]="NA",Table2[[#This Row],[avg gap]],Table2[[#This Row],[gap7]]))-starting_interval)*Table2[[#This Row],[followers7]]/Table2[[#This Row],[group size7]],""))</f>
        <v/>
      </c>
      <c r="AT95" s="72">
        <f>COUNT(Table2[[#This Row],[Tee time1]],Table2[[#This Row],[tee time2]],Table2[[#This Row],[tee time3]],Table2[[#This Row],[tee time4]],Table2[[#This Row],[tee time5]],Table2[[#This Row],[tee time6]],Table2[[#This Row],[tee time7]])</f>
        <v>1</v>
      </c>
      <c r="AU95" s="4">
        <f>IFERROR(AVERAGE(Table2[[#This Row],[Tee time1]],Table2[[#This Row],[tee time2]],Table2[[#This Row],[tee time3]],Table2[[#This Row],[tee time4]],Table2[[#This Row],[tee time5]],Table2[[#This Row],[tee time6]],Table2[[#This Row],[tee time7]]),"")</f>
        <v>0.38194444444444442</v>
      </c>
      <c r="AV95" s="30">
        <f>IFERROR(MEDIAN(Table2[[#This Row],[round1]],Table2[[#This Row],[Round2]],Table2[[#This Row],[round3]],Table2[[#This Row],[round4]],Table2[[#This Row],[round5]],Table2[[#This Row],[round6]],Table2[[#This Row],[round7]]),"")</f>
        <v>0.17708333333333331</v>
      </c>
      <c r="AW95" s="30">
        <f>IFERROR(AVERAGE(Table2[[#This Row],[gap1]],Table2[[#This Row],[gap2]],Table2[[#This Row],[gap3]],Table2[[#This Row],[gap4]],Table2[[#This Row],[gap5]],Table2[[#This Row],[gap6]],Table2[[#This Row],[gap7]]),"")</f>
        <v>7.6388888888888618E-3</v>
      </c>
      <c r="AX95" s="9">
        <f>IFERROR((Table2[[#This Row],[avg gap]]-starting_interval)*24*60*Table2[[#This Row],[Count]],"NA")</f>
        <v>0.99999999999996148</v>
      </c>
      <c r="AY9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6.9444444444441769E-3</v>
      </c>
      <c r="AZ95" s="2"/>
    </row>
    <row r="96" spans="1:52" x14ac:dyDescent="0.3">
      <c r="A96" s="10" t="s">
        <v>117</v>
      </c>
      <c r="B96" s="1" t="s">
        <v>356</v>
      </c>
      <c r="C96" s="19">
        <v>29.5</v>
      </c>
      <c r="D96" s="32" t="str">
        <f>_xlfn.IFNA(VLOOKUP(Table2[[#This Row],[Name]],'Classic day 1 - players'!$A$2:$B$64,2,FALSE),"")</f>
        <v/>
      </c>
      <c r="E96" s="33" t="str">
        <f>IF(Table2[[#This Row],[Tee time1]]&lt;&gt;"",COUNTIF('Classic day 1 - players'!$B$2:$B$64,"="&amp;Table2[[#This Row],[Tee time1]]),"")</f>
        <v/>
      </c>
      <c r="F96" s="33" t="str">
        <f>_xlfn.IFNA(VLOOKUP(Table2[[#This Row],[Tee time1]],'Classic day 1 - groups'!$A$3:$F$20,6,FALSE),"")</f>
        <v/>
      </c>
      <c r="G96" s="11" t="str">
        <f>_xlfn.IFNA(VLOOKUP(Table2[[#This Row],[Tee time1]],'Classic day 1 - groups'!$A$3:$F$20,4,FALSE),"")</f>
        <v/>
      </c>
      <c r="H96" s="12" t="str">
        <f>_xlfn.IFNA(VLOOKUP(Table2[[#This Row],[Tee time1]],'Classic day 1 - groups'!$A$3:$F$20,5,FALSE),"")</f>
        <v/>
      </c>
      <c r="I96" s="69" t="str">
        <f>IFERROR((MAX(starting_interval,IF(Table2[[#This Row],[gap1]]="NA",Table2[[#This Row],[avg gap]],Table2[[#This Row],[gap1]]))-starting_interval)*Table2[[#This Row],[followers1]]/Table2[[#This Row],[group size]],"")</f>
        <v/>
      </c>
      <c r="J96" s="32" t="str">
        <f>_xlfn.IFNA(VLOOKUP(Table2[[#This Row],[Name]],'Classic day 2 - players'!$A$2:$B$64,2,FALSE),"")</f>
        <v/>
      </c>
      <c r="K96" s="33" t="str">
        <f>IF(Table2[[#This Row],[tee time2]]&lt;&gt;"",COUNTIF('Classic day 2 - players'!$B$2:$B$64,"="&amp;Table2[[#This Row],[tee time2]]),"")</f>
        <v/>
      </c>
      <c r="L96" s="33" t="str">
        <f>_xlfn.IFNA(VLOOKUP(Table2[[#This Row],[tee time2]],'Classic day 2 - groups'!$A$3:$F$20,6,FALSE),"")</f>
        <v/>
      </c>
      <c r="M96" s="4" t="str">
        <f>_xlfn.IFNA(VLOOKUP(Table2[[#This Row],[tee time2]],'Classic day 2 - groups'!$A$3:$F$20,4,FALSE),"")</f>
        <v/>
      </c>
      <c r="N96" s="65" t="str">
        <f>_xlfn.IFNA(VLOOKUP(Table2[[#This Row],[tee time2]],'Classic day 2 - groups'!$A$3:$F$20,5,FALSE),"")</f>
        <v/>
      </c>
      <c r="O96" s="69" t="str">
        <f>IFERROR((MAX(starting_interval,IF(Table2[[#This Row],[gap2]]="NA",Table2[[#This Row],[avg gap]],Table2[[#This Row],[gap2]]))-starting_interval)*Table2[[#This Row],[followers2]]/Table2[[#This Row],[group size2]],"")</f>
        <v/>
      </c>
      <c r="P96" s="32">
        <f>_xlfn.IFNA(VLOOKUP(Table2[[#This Row],[Name]],'Summer FD - players'!$A$2:$B$65,2,FALSE),"")</f>
        <v>0.37777777777777777</v>
      </c>
      <c r="Q96" s="59">
        <f>IF(Table2[[#This Row],[tee time3]]&lt;&gt;"",COUNTIF('Summer FD - players'!$B$2:$B$65,"="&amp;Table2[[#This Row],[tee time3]]),"")</f>
        <v>4</v>
      </c>
      <c r="R96" s="59">
        <f>_xlfn.IFNA(VLOOKUP(Table2[[#This Row],[tee time3]],'Summer FD - groups'!$A$3:$F$20,6,FALSE),"")</f>
        <v>36</v>
      </c>
      <c r="S96" s="4">
        <f>_xlfn.IFNA(VLOOKUP(Table2[[#This Row],[tee time3]],'Summer FD - groups'!$A$3:$F$20,4,FALSE),"")</f>
        <v>0.18819444444444444</v>
      </c>
      <c r="T96" s="13">
        <f>_xlfn.IFNA(VLOOKUP(Table2[[#This Row],[tee time3]],'Summer FD - groups'!$A$3:$F$20,5,FALSE),"")</f>
        <v>5.5555555555555358E-3</v>
      </c>
      <c r="U96" s="69">
        <f>IF(Table2[[#This Row],[avg gap]]&lt;&gt;"",IFERROR((MAX(starting_interval,IF(Table2[[#This Row],[gap3]]="NA",Table2[[#This Row],[avg gap]],Table2[[#This Row],[gap3]]))-starting_interval)*Table2[[#This Row],[followers3]]/Table2[[#This Row],[group size3]],""),"")</f>
        <v>0</v>
      </c>
      <c r="V96" s="32">
        <f>_xlfn.IFNA(VLOOKUP(Table2[[#This Row],[Name]],'6-6-6 - players'!$A$2:$B$69,2,FALSE),"")</f>
        <v>0.38194444444444442</v>
      </c>
      <c r="W96" s="59">
        <f>IF(Table2[[#This Row],[tee time4]]&lt;&gt;"",COUNTIF('6-6-6 - players'!$B$2:$B$69,"="&amp;Table2[[#This Row],[tee time4]]),"")</f>
        <v>4</v>
      </c>
      <c r="X96" s="59">
        <f>_xlfn.IFNA(VLOOKUP(Table2[[#This Row],[tee time4]],'6-6-6 - groups'!$A$3:$F$20,6,FALSE),"")</f>
        <v>40</v>
      </c>
      <c r="Y96" s="4">
        <f>_xlfn.IFNA(VLOOKUP(Table2[[#This Row],[tee time4]],'6-6-6 - groups'!$A$3:$F$20,4,FALSE),"")</f>
        <v>0.17708333333333331</v>
      </c>
      <c r="Z96" s="13">
        <f>_xlfn.IFNA(VLOOKUP(Table2[[#This Row],[tee time4]],'6-6-6 - groups'!$A$3:$F$20,5,FALSE),"")</f>
        <v>7.6388888888888618E-3</v>
      </c>
      <c r="AA96" s="69">
        <f>IF(Table2[[#This Row],[avg gap]]&lt;&gt;"",IFERROR((MAX(starting_interval,IF(Table2[[#This Row],[gap4]]="NA",Table2[[#This Row],[avg gap]],Table2[[#This Row],[gap4]]))-starting_interval)*Table2[[#This Row],[followers4]]/Table2[[#This Row],[group size4]],""),"")</f>
        <v>6.9444444444441769E-3</v>
      </c>
      <c r="AB96" s="32" t="str">
        <f>_xlfn.IFNA(VLOOKUP(Table2[[#This Row],[Name]],'Fall FD - players'!$A$2:$B$65,2,FALSE),"")</f>
        <v/>
      </c>
      <c r="AC96" s="59" t="str">
        <f>IF(Table2[[#This Row],[tee time5]]&lt;&gt;"",COUNTIF('Fall FD - players'!$B$2:$B$65,"="&amp;Table2[[#This Row],[tee time5]]),"")</f>
        <v/>
      </c>
      <c r="AD96" s="59" t="str">
        <f>_xlfn.IFNA(VLOOKUP(Table2[[#This Row],[tee time5]],'Fall FD - groups'!$A$3:$F$20,6,FALSE),"")</f>
        <v/>
      </c>
      <c r="AE96" s="4" t="str">
        <f>_xlfn.IFNA(VLOOKUP(Table2[[#This Row],[tee time5]],'Fall FD - groups'!$A$3:$F$20,4,FALSE),"")</f>
        <v/>
      </c>
      <c r="AF96" s="13" t="str">
        <f>IFERROR(MIN(_xlfn.IFNA(VLOOKUP(Table2[[#This Row],[tee time5]],'Fall FD - groups'!$A$3:$F$20,5,FALSE),""),starting_interval + Table2[[#This Row],[round5]] - standard_round_time),"")</f>
        <v/>
      </c>
      <c r="AG96" s="69" t="str">
        <f>IF(AND(Table2[[#This Row],[gap5]]="NA",Table2[[#This Row],[round5]]&lt;4/24),0,IFERROR((MAX(starting_interval,IF(Table2[[#This Row],[gap5]]="NA",Table2[[#This Row],[avg gap]],Table2[[#This Row],[gap5]]))-starting_interval)*Table2[[#This Row],[followers5]]/Table2[[#This Row],[group size5]],""))</f>
        <v/>
      </c>
      <c r="AH96" s="32" t="str">
        <f>_xlfn.IFNA(VLOOKUP(Table2[[#This Row],[Name]],'Stableford - players'!$A$2:$B$65,2,FALSE),"")</f>
        <v/>
      </c>
      <c r="AI96" s="59" t="str">
        <f>IF(Table2[[#This Row],[tee time6]]&lt;&gt;"",COUNTIF('Stableford - players'!$B$2:$B$65,"="&amp;Table2[[#This Row],[tee time6]]),"")</f>
        <v/>
      </c>
      <c r="AJ96" s="59" t="str">
        <f>_xlfn.IFNA(VLOOKUP(Table2[[#This Row],[tee time6]],'Stableford - groups'!$A$3:$F$20,6,FALSE),"")</f>
        <v/>
      </c>
      <c r="AK96" s="11" t="str">
        <f>_xlfn.IFNA(VLOOKUP(Table2[[#This Row],[tee time6]],'Stableford - groups'!$A$3:$F$20,4,FALSE),"")</f>
        <v/>
      </c>
      <c r="AL96" s="13" t="str">
        <f>_xlfn.IFNA(VLOOKUP(Table2[[#This Row],[tee time6]],'Stableford - groups'!$A$3:$F$20,5,FALSE),"")</f>
        <v/>
      </c>
      <c r="AM96" s="68" t="str">
        <f>IF(AND(Table2[[#This Row],[gap6]]="NA",Table2[[#This Row],[round6]]&lt;4/24),0,IFERROR((MAX(starting_interval,IF(Table2[[#This Row],[gap6]]="NA",Table2[[#This Row],[avg gap]],Table2[[#This Row],[gap6]]))-starting_interval)*Table2[[#This Row],[followers6]]/Table2[[#This Row],[group size6]],""))</f>
        <v/>
      </c>
      <c r="AN96" s="32" t="str">
        <f>_xlfn.IFNA(VLOOKUP(Table2[[#This Row],[Name]],'Turkey Shoot - players'!$A$2:$B$65,2,FALSE),"")</f>
        <v/>
      </c>
      <c r="AO96" s="59" t="str">
        <f>IF(Table2[[#This Row],[tee time7]]&lt;&gt;"",COUNTIF('Turkey Shoot - players'!$B$2:$B$65,"="&amp;Table2[[#This Row],[tee time7]]),"")</f>
        <v/>
      </c>
      <c r="AP96" s="59" t="str">
        <f>_xlfn.IFNA(VLOOKUP(Table2[[#This Row],[tee time7]],'Stableford - groups'!$A$3:$F$20,6,FALSE),"")</f>
        <v/>
      </c>
      <c r="AQ96" s="11" t="str">
        <f>_xlfn.IFNA(VLOOKUP(Table2[[#This Row],[tee time7]],'Turkey Shoot - groups'!$A$3:$F$20,4,FALSE),"")</f>
        <v/>
      </c>
      <c r="AR96" s="13" t="str">
        <f>_xlfn.IFNA(VLOOKUP(Table2[[#This Row],[tee time7]],'Turkey Shoot - groups'!$A$3:$F$20,5,FALSE),"")</f>
        <v/>
      </c>
      <c r="AS96" s="68" t="str">
        <f>IF(AND(Table2[[#This Row],[gap7]]="NA",Table2[[#This Row],[round7]]&lt;4/24),0,IFERROR((MAX(starting_interval,IF(Table2[[#This Row],[gap7]]="NA",Table2[[#This Row],[avg gap]],Table2[[#This Row],[gap7]]))-starting_interval)*Table2[[#This Row],[followers7]]/Table2[[#This Row],[group size7]],""))</f>
        <v/>
      </c>
      <c r="AT96" s="72">
        <f>COUNT(Table2[[#This Row],[Tee time1]],Table2[[#This Row],[tee time2]],Table2[[#This Row],[tee time3]],Table2[[#This Row],[tee time4]],Table2[[#This Row],[tee time5]],Table2[[#This Row],[tee time6]],Table2[[#This Row],[tee time7]])</f>
        <v>2</v>
      </c>
      <c r="AU96" s="4">
        <f>IFERROR(AVERAGE(Table2[[#This Row],[Tee time1]],Table2[[#This Row],[tee time2]],Table2[[#This Row],[tee time3]],Table2[[#This Row],[tee time4]],Table2[[#This Row],[tee time5]],Table2[[#This Row],[tee time6]],Table2[[#This Row],[tee time7]]),"")</f>
        <v>0.37986111111111109</v>
      </c>
      <c r="AV96" s="11">
        <f>IFERROR(MEDIAN(Table2[[#This Row],[round1]],Table2[[#This Row],[Round2]],Table2[[#This Row],[round3]],Table2[[#This Row],[round4]],Table2[[#This Row],[round5]],Table2[[#This Row],[round6]],Table2[[#This Row],[round7]]),"")</f>
        <v>0.18263888888888888</v>
      </c>
      <c r="AW96" s="11">
        <f>IFERROR(AVERAGE(Table2[[#This Row],[gap1]],Table2[[#This Row],[gap2]],Table2[[#This Row],[gap3]],Table2[[#This Row],[gap4]],Table2[[#This Row],[gap5]],Table2[[#This Row],[gap6]],Table2[[#This Row],[gap7]]),"")</f>
        <v>6.5972222222221988E-3</v>
      </c>
      <c r="AX96" s="9">
        <f>IFERROR((Table2[[#This Row],[avg gap]]-starting_interval)*24*60*Table2[[#This Row],[Count]],"NA")</f>
        <v>-1.0000000000000664</v>
      </c>
      <c r="AY9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6.9444444444441769E-3</v>
      </c>
      <c r="AZ96" s="2"/>
    </row>
    <row r="97" spans="1:52" x14ac:dyDescent="0.3">
      <c r="A97" s="10" t="s">
        <v>205</v>
      </c>
      <c r="B97" s="1" t="s">
        <v>446</v>
      </c>
      <c r="C97" s="19">
        <v>21.4</v>
      </c>
      <c r="D97" s="32">
        <f>_xlfn.IFNA(VLOOKUP(Table2[[#This Row],[Name]],'Classic day 1 - players'!$A$2:$B$64,2,FALSE),"")</f>
        <v>0.36458333333333331</v>
      </c>
      <c r="E97" s="33">
        <f>IF(Table2[[#This Row],[Tee time1]]&lt;&gt;"",COUNTIF('Classic day 1 - players'!$B$2:$B$64,"="&amp;Table2[[#This Row],[Tee time1]]),"")</f>
        <v>4</v>
      </c>
      <c r="F97" s="33">
        <f>_xlfn.IFNA(VLOOKUP(Table2[[#This Row],[Tee time1]],'Classic day 1 - groups'!$A$3:$F$20,6,FALSE),"")</f>
        <v>48</v>
      </c>
      <c r="G97" s="11">
        <f>_xlfn.IFNA(VLOOKUP(Table2[[#This Row],[Tee time1]],'Classic day 1 - groups'!$A$3:$F$20,4,FALSE),"")</f>
        <v>0.19722222222222219</v>
      </c>
      <c r="H97" s="12">
        <f>_xlfn.IFNA(VLOOKUP(Table2[[#This Row],[Tee time1]],'Classic day 1 - groups'!$A$3:$F$20,5,FALSE),"")</f>
        <v>4.1666666666666519E-3</v>
      </c>
      <c r="I97" s="69">
        <f>IFERROR((MAX(starting_interval,IF(Table2[[#This Row],[gap1]]="NA",Table2[[#This Row],[avg gap]],Table2[[#This Row],[gap1]]))-starting_interval)*Table2[[#This Row],[followers1]]/Table2[[#This Row],[group size]],"")</f>
        <v>0</v>
      </c>
      <c r="J97" s="32">
        <f>_xlfn.IFNA(VLOOKUP(Table2[[#This Row],[Name]],'Classic day 2 - players'!$A$2:$B$64,2,FALSE),"")</f>
        <v>0.35833333333333334</v>
      </c>
      <c r="K97" s="4">
        <f>IF(Table2[[#This Row],[tee time2]]&lt;&gt;"",COUNTIF('Classic day 2 - players'!$B$2:$B$64,"="&amp;Table2[[#This Row],[tee time2]]),"")</f>
        <v>4</v>
      </c>
      <c r="L97" s="4">
        <f>_xlfn.IFNA(VLOOKUP(Table2[[#This Row],[tee time2]],'Classic day 2 - groups'!$A$3:$F$20,6,FALSE),"")</f>
        <v>36</v>
      </c>
      <c r="M97" s="4">
        <f>_xlfn.IFNA(VLOOKUP(Table2[[#This Row],[tee time2]],'Classic day 2 - groups'!$A$3:$F$20,4,FALSE),"")</f>
        <v>0.18541666666666667</v>
      </c>
      <c r="N97" s="65">
        <f>_xlfn.IFNA(VLOOKUP(Table2[[#This Row],[tee time2]],'Classic day 2 - groups'!$A$3:$F$20,5,FALSE),"")</f>
        <v>4.8611111111111112E-3</v>
      </c>
      <c r="O97" s="69">
        <f>IFERROR((MAX(starting_interval,IF(Table2[[#This Row],[gap2]]="NA",Table2[[#This Row],[avg gap]],Table2[[#This Row],[gap2]]))-starting_interval)*Table2[[#This Row],[followers2]]/Table2[[#This Row],[group size2]],"")</f>
        <v>0</v>
      </c>
      <c r="P97" s="32">
        <f>_xlfn.IFNA(VLOOKUP(Table2[[#This Row],[Name]],'Summer FD - players'!$A$2:$B$65,2,FALSE),"")</f>
        <v>0.43333333333333335</v>
      </c>
      <c r="Q97" s="59">
        <f>IF(Table2[[#This Row],[tee time3]]&lt;&gt;"",COUNTIF('Summer FD - players'!$B$2:$B$65,"="&amp;Table2[[#This Row],[tee time3]]),"")</f>
        <v>3</v>
      </c>
      <c r="R97" s="59">
        <f>_xlfn.IFNA(VLOOKUP(Table2[[#This Row],[tee time3]],'Summer FD - groups'!$A$3:$F$20,6,FALSE),"")</f>
        <v>4</v>
      </c>
      <c r="S97" s="4">
        <f>_xlfn.IFNA(VLOOKUP(Table2[[#This Row],[tee time3]],'Summer FD - groups'!$A$3:$F$20,4,FALSE),"")</f>
        <v>0.19444444444444442</v>
      </c>
      <c r="T97" s="13">
        <f>_xlfn.IFNA(VLOOKUP(Table2[[#This Row],[tee time3]],'Summer FD - groups'!$A$3:$F$20,5,FALSE),"")</f>
        <v>4.8611111111110938E-3</v>
      </c>
      <c r="U97" s="69">
        <f>IF(Table2[[#This Row],[avg gap]]&lt;&gt;"",IFERROR((MAX(starting_interval,IF(Table2[[#This Row],[gap3]]="NA",Table2[[#This Row],[avg gap]],Table2[[#This Row],[gap3]]))-starting_interval)*Table2[[#This Row],[followers3]]/Table2[[#This Row],[group size3]],""),"")</f>
        <v>0</v>
      </c>
      <c r="V97" s="32">
        <f>_xlfn.IFNA(VLOOKUP(Table2[[#This Row],[Name]],'6-6-6 - players'!$A$2:$B$69,2,FALSE),"")</f>
        <v>0.3888888888888889</v>
      </c>
      <c r="W97" s="59">
        <f>IF(Table2[[#This Row],[tee time4]]&lt;&gt;"",COUNTIF('6-6-6 - players'!$B$2:$B$69,"="&amp;Table2[[#This Row],[tee time4]]),"")</f>
        <v>4</v>
      </c>
      <c r="X97" s="59">
        <f>_xlfn.IFNA(VLOOKUP(Table2[[#This Row],[tee time4]],'6-6-6 - groups'!$A$3:$F$20,6,FALSE),"")</f>
        <v>36</v>
      </c>
      <c r="Y97" s="4">
        <f>_xlfn.IFNA(VLOOKUP(Table2[[#This Row],[tee time4]],'6-6-6 - groups'!$A$3:$F$20,4,FALSE),"")</f>
        <v>0.17291666666666666</v>
      </c>
      <c r="Z97" s="13">
        <f>_xlfn.IFNA(VLOOKUP(Table2[[#This Row],[tee time4]],'6-6-6 - groups'!$A$3:$F$20,5,FALSE),"")</f>
        <v>4.1666666666666519E-3</v>
      </c>
      <c r="AA97" s="69">
        <f>IF(Table2[[#This Row],[avg gap]]&lt;&gt;"",IFERROR((MAX(starting_interval,IF(Table2[[#This Row],[gap4]]="NA",Table2[[#This Row],[avg gap]],Table2[[#This Row],[gap4]]))-starting_interval)*Table2[[#This Row],[followers4]]/Table2[[#This Row],[group size4]],""),"")</f>
        <v>0</v>
      </c>
      <c r="AB97" s="32" t="str">
        <f>_xlfn.IFNA(VLOOKUP(Table2[[#This Row],[Name]],'Fall FD - players'!$A$2:$B$65,2,FALSE),"")</f>
        <v/>
      </c>
      <c r="AC97" s="59" t="str">
        <f>IF(Table2[[#This Row],[tee time5]]&lt;&gt;"",COUNTIF('Fall FD - players'!$B$2:$B$65,"="&amp;Table2[[#This Row],[tee time5]]),"")</f>
        <v/>
      </c>
      <c r="AD97" s="59" t="str">
        <f>_xlfn.IFNA(VLOOKUP(Table2[[#This Row],[tee time5]],'Fall FD - groups'!$A$3:$F$20,6,FALSE),"")</f>
        <v/>
      </c>
      <c r="AE97" s="4" t="str">
        <f>_xlfn.IFNA(VLOOKUP(Table2[[#This Row],[tee time5]],'Fall FD - groups'!$A$3:$F$20,4,FALSE),"")</f>
        <v/>
      </c>
      <c r="AF97" s="13" t="str">
        <f>IFERROR(MIN(_xlfn.IFNA(VLOOKUP(Table2[[#This Row],[tee time5]],'Fall FD - groups'!$A$3:$F$20,5,FALSE),""),starting_interval + Table2[[#This Row],[round5]] - standard_round_time),"")</f>
        <v/>
      </c>
      <c r="AG97" s="69" t="str">
        <f>IF(AND(Table2[[#This Row],[gap5]]="NA",Table2[[#This Row],[round5]]&lt;4/24),0,IFERROR((MAX(starting_interval,IF(Table2[[#This Row],[gap5]]="NA",Table2[[#This Row],[avg gap]],Table2[[#This Row],[gap5]]))-starting_interval)*Table2[[#This Row],[followers5]]/Table2[[#This Row],[group size5]],""))</f>
        <v/>
      </c>
      <c r="AH97" s="32">
        <f>_xlfn.IFNA(VLOOKUP(Table2[[#This Row],[Name]],'Stableford - players'!$A$2:$B$65,2,FALSE),"")</f>
        <v>0.40972222222222227</v>
      </c>
      <c r="AI97" s="59">
        <f>IF(Table2[[#This Row],[tee time6]]&lt;&gt;"",COUNTIF('Stableford - players'!$B$2:$B$65,"="&amp;Table2[[#This Row],[tee time6]]),"")</f>
        <v>4</v>
      </c>
      <c r="AJ97" s="59">
        <f>_xlfn.IFNA(VLOOKUP(Table2[[#This Row],[tee time6]],'Stableford - groups'!$A$3:$F$20,6,FALSE),"")</f>
        <v>16</v>
      </c>
      <c r="AK97" s="11">
        <f>_xlfn.IFNA(VLOOKUP(Table2[[#This Row],[tee time6]],'Stableford - groups'!$A$3:$F$20,4,FALSE),"")</f>
        <v>0.17291666666666655</v>
      </c>
      <c r="AL97" s="13">
        <f>_xlfn.IFNA(VLOOKUP(Table2[[#This Row],[tee time6]],'Stableford - groups'!$A$3:$F$20,5,FALSE),"")</f>
        <v>8.3333333333333037E-3</v>
      </c>
      <c r="AM97" s="68">
        <f>IF(AND(Table2[[#This Row],[gap6]]="NA",Table2[[#This Row],[round6]]&lt;4/24),0,IFERROR((MAX(starting_interval,IF(Table2[[#This Row],[gap6]]="NA",Table2[[#This Row],[avg gap]],Table2[[#This Row],[gap6]]))-starting_interval)*Table2[[#This Row],[followers6]]/Table2[[#This Row],[group size6]],""))</f>
        <v>5.5555555555554387E-3</v>
      </c>
      <c r="AN97" s="32">
        <f>_xlfn.IFNA(VLOOKUP(Table2[[#This Row],[Name]],'Turkey Shoot - players'!$A$2:$B$65,2,FALSE),"")</f>
        <v>0.43055555555555558</v>
      </c>
      <c r="AO97" s="59">
        <f>IF(Table2[[#This Row],[tee time7]]&lt;&gt;"",COUNTIF('Turkey Shoot - players'!$B$2:$B$65,"="&amp;Table2[[#This Row],[tee time7]]),"")</f>
        <v>3</v>
      </c>
      <c r="AP97" s="59">
        <f>_xlfn.IFNA(VLOOKUP(Table2[[#This Row],[tee time7]],'Stableford - groups'!$A$3:$F$20,6,FALSE),"")</f>
        <v>4</v>
      </c>
      <c r="AQ97" s="11">
        <f>_xlfn.IFNA(VLOOKUP(Table2[[#This Row],[tee time7]],'Turkey Shoot - groups'!$A$3:$F$20,4,FALSE),"")</f>
        <v>0.17986111111111114</v>
      </c>
      <c r="AR97" s="13">
        <f>_xlfn.IFNA(VLOOKUP(Table2[[#This Row],[tee time7]],'Turkey Shoot - groups'!$A$3:$F$20,5,FALSE),"")</f>
        <v>7.6388888888888886E-3</v>
      </c>
      <c r="AS97" s="68">
        <f>IF(AND(Table2[[#This Row],[gap7]]="NA",Table2[[#This Row],[round7]]&lt;4/24),0,IFERROR((MAX(starting_interval,IF(Table2[[#This Row],[gap7]]="NA",Table2[[#This Row],[avg gap]],Table2[[#This Row],[gap7]]))-starting_interval)*Table2[[#This Row],[followers7]]/Table2[[#This Row],[group size7]],""))</f>
        <v>9.2592592592592607E-4</v>
      </c>
      <c r="AT97" s="72">
        <f>COUNT(Table2[[#This Row],[Tee time1]],Table2[[#This Row],[tee time2]],Table2[[#This Row],[tee time3]],Table2[[#This Row],[tee time4]],Table2[[#This Row],[tee time5]],Table2[[#This Row],[tee time6]],Table2[[#This Row],[tee time7]])</f>
        <v>6</v>
      </c>
      <c r="AU97" s="4">
        <f>IFERROR(AVERAGE(Table2[[#This Row],[Tee time1]],Table2[[#This Row],[tee time2]],Table2[[#This Row],[tee time3]],Table2[[#This Row],[tee time4]],Table2[[#This Row],[tee time5]],Table2[[#This Row],[tee time6]],Table2[[#This Row],[tee time7]]),"")</f>
        <v>0.39756944444444448</v>
      </c>
      <c r="AV97" s="11">
        <f>IFERROR(MEDIAN(Table2[[#This Row],[round1]],Table2[[#This Row],[Round2]],Table2[[#This Row],[round3]],Table2[[#This Row],[round4]],Table2[[#This Row],[round5]],Table2[[#This Row],[round6]],Table2[[#This Row],[round7]]),"")</f>
        <v>0.18263888888888891</v>
      </c>
      <c r="AW97" s="11">
        <f>IFERROR(AVERAGE(Table2[[#This Row],[gap1]],Table2[[#This Row],[gap2]],Table2[[#This Row],[gap3]],Table2[[#This Row],[gap4]],Table2[[#This Row],[gap5]],Table2[[#This Row],[gap6]],Table2[[#This Row],[gap7]]),"")</f>
        <v>5.6712962962962828E-3</v>
      </c>
      <c r="AX97" s="9">
        <f>IFERROR((Table2[[#This Row],[avg gap]]-starting_interval)*24*60*Table2[[#This Row],[Count]],"NA")</f>
        <v>-11.000000000000114</v>
      </c>
      <c r="AY9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6.4814814814813651E-3</v>
      </c>
      <c r="AZ97" s="2"/>
    </row>
    <row r="98" spans="1:52" x14ac:dyDescent="0.3">
      <c r="A98" s="10" t="s">
        <v>476</v>
      </c>
      <c r="B98" s="28"/>
      <c r="C98" s="29"/>
      <c r="D98" s="63" t="str">
        <f>_xlfn.IFNA(VLOOKUP(Table2[[#This Row],[Name]],'Classic day 1 - players'!$A$2:$B$64,2,FALSE),"")</f>
        <v/>
      </c>
      <c r="E98" s="34" t="str">
        <f>IF(Table2[[#This Row],[Tee time1]]&lt;&gt;"",COUNTIF('Classic day 1 - players'!$B$2:$B$64,"="&amp;Table2[[#This Row],[Tee time1]]),"")</f>
        <v/>
      </c>
      <c r="F98" s="34" t="str">
        <f>_xlfn.IFNA(VLOOKUP(Table2[[#This Row],[Tee time1]],'Classic day 1 - groups'!$A$3:$F$20,6,FALSE),"")</f>
        <v/>
      </c>
      <c r="G98" s="30" t="str">
        <f>_xlfn.IFNA(VLOOKUP(Table2[[#This Row],[Tee time1]],'Classic day 1 - groups'!$A$3:$F$20,4,FALSE),"")</f>
        <v/>
      </c>
      <c r="H98" s="64" t="str">
        <f>_xlfn.IFNA(VLOOKUP(Table2[[#This Row],[Tee time1]],'Classic day 1 - groups'!$A$3:$F$20,5,FALSE),"")</f>
        <v/>
      </c>
      <c r="I98" s="69" t="str">
        <f>IFERROR((MAX(starting_interval,IF(Table2[[#This Row],[gap1]]="NA",Table2[[#This Row],[avg gap]],Table2[[#This Row],[gap1]]))-starting_interval)*Table2[[#This Row],[followers1]]/Table2[[#This Row],[group size]],"")</f>
        <v/>
      </c>
      <c r="J98" s="32" t="str">
        <f>_xlfn.IFNA(VLOOKUP(Table2[[#This Row],[Name]],'Classic day 2 - players'!$A$2:$B$64,2,FALSE),"")</f>
        <v/>
      </c>
      <c r="K98" s="33" t="str">
        <f>IF(Table2[[#This Row],[tee time2]]&lt;&gt;"",COUNTIF('Classic day 2 - players'!$B$2:$B$64,"="&amp;Table2[[#This Row],[tee time2]]),"")</f>
        <v/>
      </c>
      <c r="L98" s="33" t="str">
        <f>_xlfn.IFNA(VLOOKUP(Table2[[#This Row],[tee time2]],'Classic day 2 - groups'!$A$3:$F$20,6,FALSE),"")</f>
        <v/>
      </c>
      <c r="M98" s="4" t="str">
        <f>_xlfn.IFNA(VLOOKUP(Table2[[#This Row],[tee time2]],'Classic day 2 - groups'!$A$3:$F$20,4,FALSE),"")</f>
        <v/>
      </c>
      <c r="N98" s="65" t="str">
        <f>_xlfn.IFNA(VLOOKUP(Table2[[#This Row],[tee time2]],'Classic day 2 - groups'!$A$3:$F$20,5,FALSE),"")</f>
        <v/>
      </c>
      <c r="O98" s="69" t="str">
        <f>IFERROR((MAX(starting_interval,IF(Table2[[#This Row],[gap2]]="NA",Table2[[#This Row],[avg gap]],Table2[[#This Row],[gap2]]))-starting_interval)*Table2[[#This Row],[followers2]]/Table2[[#This Row],[group size2]],"")</f>
        <v/>
      </c>
      <c r="P98" s="66" t="str">
        <f>_xlfn.IFNA(VLOOKUP(Table2[[#This Row],[Name]],'Summer FD - players'!$A$2:$B$65,2,FALSE),"")</f>
        <v/>
      </c>
      <c r="Q98" s="60" t="str">
        <f>IF(Table2[[#This Row],[tee time3]]&lt;&gt;"",COUNTIF('Summer FD - players'!$B$2:$B$65,"="&amp;Table2[[#This Row],[tee time3]]),"")</f>
        <v/>
      </c>
      <c r="R98" s="60" t="str">
        <f>_xlfn.IFNA(VLOOKUP(Table2[[#This Row],[tee time3]],'Summer FD - groups'!$A$3:$F$20,6,FALSE),"")</f>
        <v/>
      </c>
      <c r="S98" s="3" t="str">
        <f>_xlfn.IFNA(VLOOKUP(Table2[[#This Row],[tee time3]],'Summer FD - groups'!$A$3:$F$20,4,FALSE),"")</f>
        <v/>
      </c>
      <c r="T98" s="65" t="str">
        <f>_xlfn.IFNA(VLOOKUP(Table2[[#This Row],[tee time3]],'Summer FD - groups'!$A$3:$F$20,5,FALSE),"")</f>
        <v/>
      </c>
      <c r="U98" s="69" t="str">
        <f>IF(Table2[[#This Row],[avg gap]]&lt;&gt;"",IFERROR((MAX(starting_interval,IF(Table2[[#This Row],[gap3]]="NA",Table2[[#This Row],[avg gap]],Table2[[#This Row],[gap3]]))-starting_interval)*Table2[[#This Row],[followers3]]/Table2[[#This Row],[group size3]],""),"")</f>
        <v/>
      </c>
      <c r="V98" s="32">
        <f>_xlfn.IFNA(VLOOKUP(Table2[[#This Row],[Name]],'6-6-6 - players'!$A$2:$B$69,2,FALSE),"")</f>
        <v>0.40972222222222227</v>
      </c>
      <c r="W98" s="60">
        <f>IF(Table2[[#This Row],[tee time4]]&lt;&gt;"",COUNTIF('6-6-6 - players'!$B$2:$B$69,"="&amp;Table2[[#This Row],[tee time4]]),"")</f>
        <v>4</v>
      </c>
      <c r="X98" s="60">
        <f>_xlfn.IFNA(VLOOKUP(Table2[[#This Row],[tee time4]],'6-6-6 - groups'!$A$3:$F$20,6,FALSE),"")</f>
        <v>24</v>
      </c>
      <c r="Y98" s="4">
        <f>_xlfn.IFNA(VLOOKUP(Table2[[#This Row],[tee time4]],'6-6-6 - groups'!$A$3:$F$20,4,FALSE),"")</f>
        <v>0.17222222222222217</v>
      </c>
      <c r="Z98" s="13">
        <f>_xlfn.IFNA(VLOOKUP(Table2[[#This Row],[tee time4]],'6-6-6 - groups'!$A$3:$F$20,5,FALSE),"")</f>
        <v>7.6388888888887507E-3</v>
      </c>
      <c r="AA98" s="69">
        <f>IF(Table2[[#This Row],[avg gap]]&lt;&gt;"",IFERROR((MAX(starting_interval,IF(Table2[[#This Row],[gap4]]="NA",Table2[[#This Row],[avg gap]],Table2[[#This Row],[gap4]]))-starting_interval)*Table2[[#This Row],[followers4]]/Table2[[#This Row],[group size4]],""),"")</f>
        <v>4.16666666666584E-3</v>
      </c>
      <c r="AB98" s="32" t="str">
        <f>_xlfn.IFNA(VLOOKUP(Table2[[#This Row],[Name]],'Fall FD - players'!$A$2:$B$65,2,FALSE),"")</f>
        <v/>
      </c>
      <c r="AC98" s="60" t="str">
        <f>IF(Table2[[#This Row],[tee time5]]&lt;&gt;"",COUNTIF('Fall FD - players'!$B$2:$B$65,"="&amp;Table2[[#This Row],[tee time5]]),"")</f>
        <v/>
      </c>
      <c r="AD98" s="60" t="str">
        <f>_xlfn.IFNA(VLOOKUP(Table2[[#This Row],[tee time5]],'Fall FD - groups'!$A$3:$F$20,6,FALSE),"")</f>
        <v/>
      </c>
      <c r="AE98" s="4" t="str">
        <f>_xlfn.IFNA(VLOOKUP(Table2[[#This Row],[tee time5]],'Fall FD - groups'!$A$3:$F$20,4,FALSE),"")</f>
        <v/>
      </c>
      <c r="AF98" s="13" t="str">
        <f>IFERROR(MIN(_xlfn.IFNA(VLOOKUP(Table2[[#This Row],[tee time5]],'Fall FD - groups'!$A$3:$F$20,5,FALSE),""),starting_interval + Table2[[#This Row],[round5]] - standard_round_time),"")</f>
        <v/>
      </c>
      <c r="AG98" s="69" t="str">
        <f>IF(AND(Table2[[#This Row],[gap5]]="NA",Table2[[#This Row],[round5]]&lt;4/24),0,IFERROR((MAX(starting_interval,IF(Table2[[#This Row],[gap5]]="NA",Table2[[#This Row],[avg gap]],Table2[[#This Row],[gap5]]))-starting_interval)*Table2[[#This Row],[followers5]]/Table2[[#This Row],[group size5]],""))</f>
        <v/>
      </c>
      <c r="AH98" s="32" t="str">
        <f>_xlfn.IFNA(VLOOKUP(Table2[[#This Row],[Name]],'Stableford - players'!$A$2:$B$65,2,FALSE),"")</f>
        <v/>
      </c>
      <c r="AI98" s="60" t="str">
        <f>IF(Table2[[#This Row],[tee time6]]&lt;&gt;"",COUNTIF('Stableford - players'!$B$2:$B$65,"="&amp;Table2[[#This Row],[tee time6]]),"")</f>
        <v/>
      </c>
      <c r="AJ98" s="59" t="str">
        <f>_xlfn.IFNA(VLOOKUP(Table2[[#This Row],[tee time6]],'Stableford - groups'!$A$3:$F$20,6,FALSE),"")</f>
        <v/>
      </c>
      <c r="AK98" s="11" t="str">
        <f>_xlfn.IFNA(VLOOKUP(Table2[[#This Row],[tee time6]],'Stableford - groups'!$A$3:$F$20,4,FALSE),"")</f>
        <v/>
      </c>
      <c r="AL98" s="13" t="str">
        <f>_xlfn.IFNA(VLOOKUP(Table2[[#This Row],[tee time6]],'Stableford - groups'!$A$3:$F$20,5,FALSE),"")</f>
        <v/>
      </c>
      <c r="AM98" s="68" t="str">
        <f>IF(AND(Table2[[#This Row],[gap6]]="NA",Table2[[#This Row],[round6]]&lt;4/24),0,IFERROR((MAX(starting_interval,IF(Table2[[#This Row],[gap6]]="NA",Table2[[#This Row],[avg gap]],Table2[[#This Row],[gap6]]))-starting_interval)*Table2[[#This Row],[followers6]]/Table2[[#This Row],[group size6]],""))</f>
        <v/>
      </c>
      <c r="AN98" s="32" t="str">
        <f>_xlfn.IFNA(VLOOKUP(Table2[[#This Row],[Name]],'Turkey Shoot - players'!$A$2:$B$65,2,FALSE),"")</f>
        <v/>
      </c>
      <c r="AO98" s="59" t="str">
        <f>IF(Table2[[#This Row],[tee time7]]&lt;&gt;"",COUNTIF('Turkey Shoot - players'!$B$2:$B$65,"="&amp;Table2[[#This Row],[tee time7]]),"")</f>
        <v/>
      </c>
      <c r="AP98" s="59" t="str">
        <f>_xlfn.IFNA(VLOOKUP(Table2[[#This Row],[tee time7]],'Stableford - groups'!$A$3:$F$20,6,FALSE),"")</f>
        <v/>
      </c>
      <c r="AQ98" s="11" t="str">
        <f>_xlfn.IFNA(VLOOKUP(Table2[[#This Row],[tee time7]],'Turkey Shoot - groups'!$A$3:$F$20,4,FALSE),"")</f>
        <v/>
      </c>
      <c r="AR98" s="13" t="str">
        <f>_xlfn.IFNA(VLOOKUP(Table2[[#This Row],[tee time7]],'Turkey Shoot - groups'!$A$3:$F$20,5,FALSE),"")</f>
        <v/>
      </c>
      <c r="AS98" s="68" t="str">
        <f>IF(AND(Table2[[#This Row],[gap7]]="NA",Table2[[#This Row],[round7]]&lt;4/24),0,IFERROR((MAX(starting_interval,IF(Table2[[#This Row],[gap7]]="NA",Table2[[#This Row],[avg gap]],Table2[[#This Row],[gap7]]))-starting_interval)*Table2[[#This Row],[followers7]]/Table2[[#This Row],[group size7]],""))</f>
        <v/>
      </c>
      <c r="AT98" s="72">
        <f>COUNT(Table2[[#This Row],[Tee time1]],Table2[[#This Row],[tee time2]],Table2[[#This Row],[tee time3]],Table2[[#This Row],[tee time4]],Table2[[#This Row],[tee time5]],Table2[[#This Row],[tee time6]],Table2[[#This Row],[tee time7]])</f>
        <v>1</v>
      </c>
      <c r="AU98" s="4">
        <f>IFERROR(AVERAGE(Table2[[#This Row],[Tee time1]],Table2[[#This Row],[tee time2]],Table2[[#This Row],[tee time3]],Table2[[#This Row],[tee time4]],Table2[[#This Row],[tee time5]],Table2[[#This Row],[tee time6]],Table2[[#This Row],[tee time7]]),"")</f>
        <v>0.40972222222222227</v>
      </c>
      <c r="AV98" s="30">
        <f>IFERROR(MEDIAN(Table2[[#This Row],[round1]],Table2[[#This Row],[Round2]],Table2[[#This Row],[round3]],Table2[[#This Row],[round4]],Table2[[#This Row],[round5]],Table2[[#This Row],[round6]],Table2[[#This Row],[round7]]),"")</f>
        <v>0.17222222222222217</v>
      </c>
      <c r="AW98" s="30">
        <f>IFERROR(AVERAGE(Table2[[#This Row],[gap1]],Table2[[#This Row],[gap2]],Table2[[#This Row],[gap3]],Table2[[#This Row],[gap4]],Table2[[#This Row],[gap5]],Table2[[#This Row],[gap6]],Table2[[#This Row],[gap7]]),"")</f>
        <v>7.6388888888887507E-3</v>
      </c>
      <c r="AX98" s="9">
        <f>IFERROR((Table2[[#This Row],[avg gap]]-starting_interval)*24*60*Table2[[#This Row],[Count]],"NA")</f>
        <v>0.9999999999998016</v>
      </c>
      <c r="AY9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4.16666666666584E-3</v>
      </c>
      <c r="AZ98" s="2"/>
    </row>
    <row r="99" spans="1:52" x14ac:dyDescent="0.3">
      <c r="A99" s="10" t="s">
        <v>125</v>
      </c>
      <c r="B99" s="1" t="s">
        <v>365</v>
      </c>
      <c r="C99" s="19">
        <v>18.8</v>
      </c>
      <c r="D99" s="32" t="str">
        <f>_xlfn.IFNA(VLOOKUP(Table2[[#This Row],[Name]],'Classic day 1 - players'!$A$2:$B$64,2,FALSE),"")</f>
        <v/>
      </c>
      <c r="E99" s="33" t="str">
        <f>IF(Table2[[#This Row],[Tee time1]]&lt;&gt;"",COUNTIF('Classic day 1 - players'!$B$2:$B$64,"="&amp;Table2[[#This Row],[Tee time1]]),"")</f>
        <v/>
      </c>
      <c r="F99" s="33" t="str">
        <f>_xlfn.IFNA(VLOOKUP(Table2[[#This Row],[Tee time1]],'Classic day 1 - groups'!$A$3:$F$20,6,FALSE),"")</f>
        <v/>
      </c>
      <c r="G99" s="11" t="str">
        <f>_xlfn.IFNA(VLOOKUP(Table2[[#This Row],[Tee time1]],'Classic day 1 - groups'!$A$3:$F$20,4,FALSE),"")</f>
        <v/>
      </c>
      <c r="H99" s="12" t="str">
        <f>_xlfn.IFNA(VLOOKUP(Table2[[#This Row],[Tee time1]],'Classic day 1 - groups'!$A$3:$F$20,5,FALSE),"")</f>
        <v/>
      </c>
      <c r="I99" s="69" t="str">
        <f>IFERROR((MAX(starting_interval,IF(Table2[[#This Row],[gap1]]="NA",Table2[[#This Row],[avg gap]],Table2[[#This Row],[gap1]]))-starting_interval)*Table2[[#This Row],[followers1]]/Table2[[#This Row],[group size]],"")</f>
        <v/>
      </c>
      <c r="J99" s="32" t="str">
        <f>_xlfn.IFNA(VLOOKUP(Table2[[#This Row],[Name]],'Classic day 2 - players'!$A$2:$B$64,2,FALSE),"")</f>
        <v/>
      </c>
      <c r="K99" s="33" t="str">
        <f>IF(Table2[[#This Row],[tee time2]]&lt;&gt;"",COUNTIF('Classic day 2 - players'!$B$2:$B$64,"="&amp;Table2[[#This Row],[tee time2]]),"")</f>
        <v/>
      </c>
      <c r="L99" s="33" t="str">
        <f>_xlfn.IFNA(VLOOKUP(Table2[[#This Row],[tee time2]],'Classic day 2 - groups'!$A$3:$F$20,6,FALSE),"")</f>
        <v/>
      </c>
      <c r="M99" s="4" t="str">
        <f>_xlfn.IFNA(VLOOKUP(Table2[[#This Row],[tee time2]],'Classic day 2 - groups'!$A$3:$F$20,4,FALSE),"")</f>
        <v/>
      </c>
      <c r="N99" s="65" t="str">
        <f>_xlfn.IFNA(VLOOKUP(Table2[[#This Row],[tee time2]],'Classic day 2 - groups'!$A$3:$F$20,5,FALSE),"")</f>
        <v/>
      </c>
      <c r="O99" s="69" t="str">
        <f>IFERROR((MAX(starting_interval,IF(Table2[[#This Row],[gap2]]="NA",Table2[[#This Row],[avg gap]],Table2[[#This Row],[gap2]]))-starting_interval)*Table2[[#This Row],[followers2]]/Table2[[#This Row],[group size2]],"")</f>
        <v/>
      </c>
      <c r="P99" s="32" t="str">
        <f>_xlfn.IFNA(VLOOKUP(Table2[[#This Row],[Name]],'Summer FD - players'!$A$2:$B$65,2,FALSE),"")</f>
        <v/>
      </c>
      <c r="Q99" s="59" t="str">
        <f>IF(Table2[[#This Row],[tee time3]]&lt;&gt;"",COUNTIF('Summer FD - players'!$B$2:$B$65,"="&amp;Table2[[#This Row],[tee time3]]),"")</f>
        <v/>
      </c>
      <c r="R99" s="59" t="str">
        <f>_xlfn.IFNA(VLOOKUP(Table2[[#This Row],[tee time3]],'Summer FD - groups'!$A$3:$F$20,6,FALSE),"")</f>
        <v/>
      </c>
      <c r="S99" s="4" t="str">
        <f>_xlfn.IFNA(VLOOKUP(Table2[[#This Row],[tee time3]],'Summer FD - groups'!$A$3:$F$20,4,FALSE),"")</f>
        <v/>
      </c>
      <c r="T99" s="13" t="str">
        <f>_xlfn.IFNA(VLOOKUP(Table2[[#This Row],[tee time3]],'Summer FD - groups'!$A$3:$F$20,5,FALSE),"")</f>
        <v/>
      </c>
      <c r="U99" s="69" t="str">
        <f>IF(Table2[[#This Row],[avg gap]]&lt;&gt;"",IFERROR((MAX(starting_interval,IF(Table2[[#This Row],[gap3]]="NA",Table2[[#This Row],[avg gap]],Table2[[#This Row],[gap3]]))-starting_interval)*Table2[[#This Row],[followers3]]/Table2[[#This Row],[group size3]],""),"")</f>
        <v/>
      </c>
      <c r="V99" s="32">
        <f>_xlfn.IFNA(VLOOKUP(Table2[[#This Row],[Name]],'6-6-6 - players'!$A$2:$B$69,2,FALSE),"")</f>
        <v>0.40972222222222227</v>
      </c>
      <c r="W99" s="59">
        <f>IF(Table2[[#This Row],[tee time4]]&lt;&gt;"",COUNTIF('6-6-6 - players'!$B$2:$B$69,"="&amp;Table2[[#This Row],[tee time4]]),"")</f>
        <v>4</v>
      </c>
      <c r="X99" s="59">
        <f>_xlfn.IFNA(VLOOKUP(Table2[[#This Row],[tee time4]],'6-6-6 - groups'!$A$3:$F$20,6,FALSE),"")</f>
        <v>24</v>
      </c>
      <c r="Y99" s="4">
        <f>_xlfn.IFNA(VLOOKUP(Table2[[#This Row],[tee time4]],'6-6-6 - groups'!$A$3:$F$20,4,FALSE),"")</f>
        <v>0.17222222222222217</v>
      </c>
      <c r="Z99" s="13">
        <f>_xlfn.IFNA(VLOOKUP(Table2[[#This Row],[tee time4]],'6-6-6 - groups'!$A$3:$F$20,5,FALSE),"")</f>
        <v>7.6388888888887507E-3</v>
      </c>
      <c r="AA99" s="69">
        <f>IF(Table2[[#This Row],[avg gap]]&lt;&gt;"",IFERROR((MAX(starting_interval,IF(Table2[[#This Row],[gap4]]="NA",Table2[[#This Row],[avg gap]],Table2[[#This Row],[gap4]]))-starting_interval)*Table2[[#This Row],[followers4]]/Table2[[#This Row],[group size4]],""),"")</f>
        <v>4.16666666666584E-3</v>
      </c>
      <c r="AB99" s="32" t="str">
        <f>_xlfn.IFNA(VLOOKUP(Table2[[#This Row],[Name]],'Fall FD - players'!$A$2:$B$65,2,FALSE),"")</f>
        <v/>
      </c>
      <c r="AC99" s="59" t="str">
        <f>IF(Table2[[#This Row],[tee time5]]&lt;&gt;"",COUNTIF('Fall FD - players'!$B$2:$B$65,"="&amp;Table2[[#This Row],[tee time5]]),"")</f>
        <v/>
      </c>
      <c r="AD99" s="59" t="str">
        <f>_xlfn.IFNA(VLOOKUP(Table2[[#This Row],[tee time5]],'Fall FD - groups'!$A$3:$F$20,6,FALSE),"")</f>
        <v/>
      </c>
      <c r="AE99" s="4" t="str">
        <f>_xlfn.IFNA(VLOOKUP(Table2[[#This Row],[tee time5]],'Fall FD - groups'!$A$3:$F$20,4,FALSE),"")</f>
        <v/>
      </c>
      <c r="AF99" s="13" t="str">
        <f>IFERROR(MIN(_xlfn.IFNA(VLOOKUP(Table2[[#This Row],[tee time5]],'Fall FD - groups'!$A$3:$F$20,5,FALSE),""),starting_interval + Table2[[#This Row],[round5]] - standard_round_time),"")</f>
        <v/>
      </c>
      <c r="AG99" s="69" t="str">
        <f>IF(AND(Table2[[#This Row],[gap5]]="NA",Table2[[#This Row],[round5]]&lt;4/24),0,IFERROR((MAX(starting_interval,IF(Table2[[#This Row],[gap5]]="NA",Table2[[#This Row],[avg gap]],Table2[[#This Row],[gap5]]))-starting_interval)*Table2[[#This Row],[followers5]]/Table2[[#This Row],[group size5]],""))</f>
        <v/>
      </c>
      <c r="AH99" s="32" t="str">
        <f>_xlfn.IFNA(VLOOKUP(Table2[[#This Row],[Name]],'Stableford - players'!$A$2:$B$65,2,FALSE),"")</f>
        <v/>
      </c>
      <c r="AI99" s="59" t="str">
        <f>IF(Table2[[#This Row],[tee time6]]&lt;&gt;"",COUNTIF('Stableford - players'!$B$2:$B$65,"="&amp;Table2[[#This Row],[tee time6]]),"")</f>
        <v/>
      </c>
      <c r="AJ99" s="59" t="str">
        <f>_xlfn.IFNA(VLOOKUP(Table2[[#This Row],[tee time6]],'Stableford - groups'!$A$3:$F$20,6,FALSE),"")</f>
        <v/>
      </c>
      <c r="AK99" s="11" t="str">
        <f>_xlfn.IFNA(VLOOKUP(Table2[[#This Row],[tee time6]],'Stableford - groups'!$A$3:$F$20,4,FALSE),"")</f>
        <v/>
      </c>
      <c r="AL99" s="13" t="str">
        <f>_xlfn.IFNA(VLOOKUP(Table2[[#This Row],[tee time6]],'Stableford - groups'!$A$3:$F$20,5,FALSE),"")</f>
        <v/>
      </c>
      <c r="AM99" s="68" t="str">
        <f>IF(AND(Table2[[#This Row],[gap6]]="NA",Table2[[#This Row],[round6]]&lt;4/24),0,IFERROR((MAX(starting_interval,IF(Table2[[#This Row],[gap6]]="NA",Table2[[#This Row],[avg gap]],Table2[[#This Row],[gap6]]))-starting_interval)*Table2[[#This Row],[followers6]]/Table2[[#This Row],[group size6]],""))</f>
        <v/>
      </c>
      <c r="AN99" s="32" t="str">
        <f>_xlfn.IFNA(VLOOKUP(Table2[[#This Row],[Name]],'Turkey Shoot - players'!$A$2:$B$65,2,FALSE),"")</f>
        <v/>
      </c>
      <c r="AO99" s="59" t="str">
        <f>IF(Table2[[#This Row],[tee time7]]&lt;&gt;"",COUNTIF('Turkey Shoot - players'!$B$2:$B$65,"="&amp;Table2[[#This Row],[tee time7]]),"")</f>
        <v/>
      </c>
      <c r="AP99" s="59" t="str">
        <f>_xlfn.IFNA(VLOOKUP(Table2[[#This Row],[tee time7]],'Stableford - groups'!$A$3:$F$20,6,FALSE),"")</f>
        <v/>
      </c>
      <c r="AQ99" s="11" t="str">
        <f>_xlfn.IFNA(VLOOKUP(Table2[[#This Row],[tee time7]],'Turkey Shoot - groups'!$A$3:$F$20,4,FALSE),"")</f>
        <v/>
      </c>
      <c r="AR99" s="13" t="str">
        <f>_xlfn.IFNA(VLOOKUP(Table2[[#This Row],[tee time7]],'Turkey Shoot - groups'!$A$3:$F$20,5,FALSE),"")</f>
        <v/>
      </c>
      <c r="AS99" s="68" t="str">
        <f>IF(AND(Table2[[#This Row],[gap7]]="NA",Table2[[#This Row],[round7]]&lt;4/24),0,IFERROR((MAX(starting_interval,IF(Table2[[#This Row],[gap7]]="NA",Table2[[#This Row],[avg gap]],Table2[[#This Row],[gap7]]))-starting_interval)*Table2[[#This Row],[followers7]]/Table2[[#This Row],[group size7]],""))</f>
        <v/>
      </c>
      <c r="AT99" s="72">
        <f>COUNT(Table2[[#This Row],[Tee time1]],Table2[[#This Row],[tee time2]],Table2[[#This Row],[tee time3]],Table2[[#This Row],[tee time4]],Table2[[#This Row],[tee time5]],Table2[[#This Row],[tee time6]],Table2[[#This Row],[tee time7]])</f>
        <v>1</v>
      </c>
      <c r="AU99" s="4">
        <f>IFERROR(AVERAGE(Table2[[#This Row],[Tee time1]],Table2[[#This Row],[tee time2]],Table2[[#This Row],[tee time3]],Table2[[#This Row],[tee time4]],Table2[[#This Row],[tee time5]],Table2[[#This Row],[tee time6]],Table2[[#This Row],[tee time7]]),"")</f>
        <v>0.40972222222222227</v>
      </c>
      <c r="AV99" s="11">
        <f>IFERROR(MEDIAN(Table2[[#This Row],[round1]],Table2[[#This Row],[Round2]],Table2[[#This Row],[round3]],Table2[[#This Row],[round4]],Table2[[#This Row],[round5]],Table2[[#This Row],[round6]],Table2[[#This Row],[round7]]),"")</f>
        <v>0.17222222222222217</v>
      </c>
      <c r="AW99" s="11">
        <f>IFERROR(AVERAGE(Table2[[#This Row],[gap1]],Table2[[#This Row],[gap2]],Table2[[#This Row],[gap3]],Table2[[#This Row],[gap4]],Table2[[#This Row],[gap5]],Table2[[#This Row],[gap6]],Table2[[#This Row],[gap7]]),"")</f>
        <v>7.6388888888887507E-3</v>
      </c>
      <c r="AX99" s="9">
        <f>IFERROR((Table2[[#This Row],[avg gap]]-starting_interval)*24*60*Table2[[#This Row],[Count]],"NA")</f>
        <v>0.9999999999998016</v>
      </c>
      <c r="AY9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4.16666666666584E-3</v>
      </c>
      <c r="AZ99" s="2"/>
    </row>
    <row r="100" spans="1:52" x14ac:dyDescent="0.3">
      <c r="A100" s="10" t="s">
        <v>126</v>
      </c>
      <c r="B100" s="1" t="s">
        <v>366</v>
      </c>
      <c r="C100" s="19">
        <v>27.2</v>
      </c>
      <c r="D100" s="32" t="str">
        <f>_xlfn.IFNA(VLOOKUP(Table2[[#This Row],[Name]],'Classic day 1 - players'!$A$2:$B$64,2,FALSE),"")</f>
        <v/>
      </c>
      <c r="E100" s="33" t="str">
        <f>IF(Table2[[#This Row],[Tee time1]]&lt;&gt;"",COUNTIF('Classic day 1 - players'!$B$2:$B$64,"="&amp;Table2[[#This Row],[Tee time1]]),"")</f>
        <v/>
      </c>
      <c r="F100" s="33" t="str">
        <f>_xlfn.IFNA(VLOOKUP(Table2[[#This Row],[Tee time1]],'Classic day 1 - groups'!$A$3:$F$20,6,FALSE),"")</f>
        <v/>
      </c>
      <c r="G100" s="11" t="str">
        <f>_xlfn.IFNA(VLOOKUP(Table2[[#This Row],[Tee time1]],'Classic day 1 - groups'!$A$3:$F$20,4,FALSE),"")</f>
        <v/>
      </c>
      <c r="H100" s="12" t="str">
        <f>_xlfn.IFNA(VLOOKUP(Table2[[#This Row],[Tee time1]],'Classic day 1 - groups'!$A$3:$F$20,5,FALSE),"")</f>
        <v/>
      </c>
      <c r="I100" s="69" t="str">
        <f>IFERROR((MAX(starting_interval,IF(Table2[[#This Row],[gap1]]="NA",Table2[[#This Row],[avg gap]],Table2[[#This Row],[gap1]]))-starting_interval)*Table2[[#This Row],[followers1]]/Table2[[#This Row],[group size]],"")</f>
        <v/>
      </c>
      <c r="J100" s="32" t="str">
        <f>_xlfn.IFNA(VLOOKUP(Table2[[#This Row],[Name]],'Classic day 2 - players'!$A$2:$B$64,2,FALSE),"")</f>
        <v/>
      </c>
      <c r="K100" s="33" t="str">
        <f>IF(Table2[[#This Row],[tee time2]]&lt;&gt;"",COUNTIF('Classic day 2 - players'!$B$2:$B$64,"="&amp;Table2[[#This Row],[tee time2]]),"")</f>
        <v/>
      </c>
      <c r="L100" s="33" t="str">
        <f>_xlfn.IFNA(VLOOKUP(Table2[[#This Row],[tee time2]],'Classic day 2 - groups'!$A$3:$F$20,6,FALSE),"")</f>
        <v/>
      </c>
      <c r="M100" s="4" t="str">
        <f>_xlfn.IFNA(VLOOKUP(Table2[[#This Row],[tee time2]],'Classic day 2 - groups'!$A$3:$F$20,4,FALSE),"")</f>
        <v/>
      </c>
      <c r="N100" s="65" t="str">
        <f>_xlfn.IFNA(VLOOKUP(Table2[[#This Row],[tee time2]],'Classic day 2 - groups'!$A$3:$F$20,5,FALSE),"")</f>
        <v/>
      </c>
      <c r="O100" s="69" t="str">
        <f>IFERROR((MAX(starting_interval,IF(Table2[[#This Row],[gap2]]="NA",Table2[[#This Row],[avg gap]],Table2[[#This Row],[gap2]]))-starting_interval)*Table2[[#This Row],[followers2]]/Table2[[#This Row],[group size2]],"")</f>
        <v/>
      </c>
      <c r="P100" s="32" t="str">
        <f>_xlfn.IFNA(VLOOKUP(Table2[[#This Row],[Name]],'Summer FD - players'!$A$2:$B$65,2,FALSE),"")</f>
        <v/>
      </c>
      <c r="Q100" s="59" t="str">
        <f>IF(Table2[[#This Row],[tee time3]]&lt;&gt;"",COUNTIF('Summer FD - players'!$B$2:$B$65,"="&amp;Table2[[#This Row],[tee time3]]),"")</f>
        <v/>
      </c>
      <c r="R100" s="59" t="str">
        <f>_xlfn.IFNA(VLOOKUP(Table2[[#This Row],[tee time3]],'Summer FD - groups'!$A$3:$F$20,6,FALSE),"")</f>
        <v/>
      </c>
      <c r="S100" s="4" t="str">
        <f>_xlfn.IFNA(VLOOKUP(Table2[[#This Row],[tee time3]],'Summer FD - groups'!$A$3:$F$20,4,FALSE),"")</f>
        <v/>
      </c>
      <c r="T100" s="13" t="str">
        <f>_xlfn.IFNA(VLOOKUP(Table2[[#This Row],[tee time3]],'Summer FD - groups'!$A$3:$F$20,5,FALSE),"")</f>
        <v/>
      </c>
      <c r="U100" s="69" t="str">
        <f>IF(Table2[[#This Row],[avg gap]]&lt;&gt;"",IFERROR((MAX(starting_interval,IF(Table2[[#This Row],[gap3]]="NA",Table2[[#This Row],[avg gap]],Table2[[#This Row],[gap3]]))-starting_interval)*Table2[[#This Row],[followers3]]/Table2[[#This Row],[group size3]],""),"")</f>
        <v/>
      </c>
      <c r="V100" s="32">
        <f>_xlfn.IFNA(VLOOKUP(Table2[[#This Row],[Name]],'6-6-6 - players'!$A$2:$B$69,2,FALSE),"")</f>
        <v>0.40972222222222227</v>
      </c>
      <c r="W100" s="59">
        <f>IF(Table2[[#This Row],[tee time4]]&lt;&gt;"",COUNTIF('6-6-6 - players'!$B$2:$B$69,"="&amp;Table2[[#This Row],[tee time4]]),"")</f>
        <v>4</v>
      </c>
      <c r="X100" s="59">
        <f>_xlfn.IFNA(VLOOKUP(Table2[[#This Row],[tee time4]],'6-6-6 - groups'!$A$3:$F$20,6,FALSE),"")</f>
        <v>24</v>
      </c>
      <c r="Y100" s="4">
        <f>_xlfn.IFNA(VLOOKUP(Table2[[#This Row],[tee time4]],'6-6-6 - groups'!$A$3:$F$20,4,FALSE),"")</f>
        <v>0.17222222222222217</v>
      </c>
      <c r="Z100" s="13">
        <f>_xlfn.IFNA(VLOOKUP(Table2[[#This Row],[tee time4]],'6-6-6 - groups'!$A$3:$F$20,5,FALSE),"")</f>
        <v>7.6388888888887507E-3</v>
      </c>
      <c r="AA100" s="69">
        <f>IF(Table2[[#This Row],[avg gap]]&lt;&gt;"",IFERROR((MAX(starting_interval,IF(Table2[[#This Row],[gap4]]="NA",Table2[[#This Row],[avg gap]],Table2[[#This Row],[gap4]]))-starting_interval)*Table2[[#This Row],[followers4]]/Table2[[#This Row],[group size4]],""),"")</f>
        <v>4.16666666666584E-3</v>
      </c>
      <c r="AB100" s="32" t="str">
        <f>_xlfn.IFNA(VLOOKUP(Table2[[#This Row],[Name]],'Fall FD - players'!$A$2:$B$65,2,FALSE),"")</f>
        <v/>
      </c>
      <c r="AC100" s="59" t="str">
        <f>IF(Table2[[#This Row],[tee time5]]&lt;&gt;"",COUNTIF('Fall FD - players'!$B$2:$B$65,"="&amp;Table2[[#This Row],[tee time5]]),"")</f>
        <v/>
      </c>
      <c r="AD100" s="59" t="str">
        <f>_xlfn.IFNA(VLOOKUP(Table2[[#This Row],[tee time5]],'Fall FD - groups'!$A$3:$F$20,6,FALSE),"")</f>
        <v/>
      </c>
      <c r="AE100" s="4" t="str">
        <f>_xlfn.IFNA(VLOOKUP(Table2[[#This Row],[tee time5]],'Fall FD - groups'!$A$3:$F$20,4,FALSE),"")</f>
        <v/>
      </c>
      <c r="AF100" s="13" t="str">
        <f>IFERROR(MIN(_xlfn.IFNA(VLOOKUP(Table2[[#This Row],[tee time5]],'Fall FD - groups'!$A$3:$F$20,5,FALSE),""),starting_interval + Table2[[#This Row],[round5]] - standard_round_time),"")</f>
        <v/>
      </c>
      <c r="AG100" s="69" t="str">
        <f>IF(AND(Table2[[#This Row],[gap5]]="NA",Table2[[#This Row],[round5]]&lt;4/24),0,IFERROR((MAX(starting_interval,IF(Table2[[#This Row],[gap5]]="NA",Table2[[#This Row],[avg gap]],Table2[[#This Row],[gap5]]))-starting_interval)*Table2[[#This Row],[followers5]]/Table2[[#This Row],[group size5]],""))</f>
        <v/>
      </c>
      <c r="AH100" s="32" t="str">
        <f>_xlfn.IFNA(VLOOKUP(Table2[[#This Row],[Name]],'Stableford - players'!$A$2:$B$65,2,FALSE),"")</f>
        <v/>
      </c>
      <c r="AI100" s="59" t="str">
        <f>IF(Table2[[#This Row],[tee time6]]&lt;&gt;"",COUNTIF('Stableford - players'!$B$2:$B$65,"="&amp;Table2[[#This Row],[tee time6]]),"")</f>
        <v/>
      </c>
      <c r="AJ100" s="59" t="str">
        <f>_xlfn.IFNA(VLOOKUP(Table2[[#This Row],[tee time6]],'Stableford - groups'!$A$3:$F$20,6,FALSE),"")</f>
        <v/>
      </c>
      <c r="AK100" s="11" t="str">
        <f>_xlfn.IFNA(VLOOKUP(Table2[[#This Row],[tee time6]],'Stableford - groups'!$A$3:$F$20,4,FALSE),"")</f>
        <v/>
      </c>
      <c r="AL100" s="13" t="str">
        <f>_xlfn.IFNA(VLOOKUP(Table2[[#This Row],[tee time6]],'Stableford - groups'!$A$3:$F$20,5,FALSE),"")</f>
        <v/>
      </c>
      <c r="AM100" s="68" t="str">
        <f>IF(AND(Table2[[#This Row],[gap6]]="NA",Table2[[#This Row],[round6]]&lt;4/24),0,IFERROR((MAX(starting_interval,IF(Table2[[#This Row],[gap6]]="NA",Table2[[#This Row],[avg gap]],Table2[[#This Row],[gap6]]))-starting_interval)*Table2[[#This Row],[followers6]]/Table2[[#This Row],[group size6]],""))</f>
        <v/>
      </c>
      <c r="AN100" s="32" t="str">
        <f>_xlfn.IFNA(VLOOKUP(Table2[[#This Row],[Name]],'Turkey Shoot - players'!$A$2:$B$65,2,FALSE),"")</f>
        <v/>
      </c>
      <c r="AO100" s="59" t="str">
        <f>IF(Table2[[#This Row],[tee time7]]&lt;&gt;"",COUNTIF('Turkey Shoot - players'!$B$2:$B$65,"="&amp;Table2[[#This Row],[tee time7]]),"")</f>
        <v/>
      </c>
      <c r="AP100" s="59" t="str">
        <f>_xlfn.IFNA(VLOOKUP(Table2[[#This Row],[tee time7]],'Stableford - groups'!$A$3:$F$20,6,FALSE),"")</f>
        <v/>
      </c>
      <c r="AQ100" s="11" t="str">
        <f>_xlfn.IFNA(VLOOKUP(Table2[[#This Row],[tee time7]],'Turkey Shoot - groups'!$A$3:$F$20,4,FALSE),"")</f>
        <v/>
      </c>
      <c r="AR100" s="13" t="str">
        <f>_xlfn.IFNA(VLOOKUP(Table2[[#This Row],[tee time7]],'Turkey Shoot - groups'!$A$3:$F$20,5,FALSE),"")</f>
        <v/>
      </c>
      <c r="AS100" s="68" t="str">
        <f>IF(AND(Table2[[#This Row],[gap7]]="NA",Table2[[#This Row],[round7]]&lt;4/24),0,IFERROR((MAX(starting_interval,IF(Table2[[#This Row],[gap7]]="NA",Table2[[#This Row],[avg gap]],Table2[[#This Row],[gap7]]))-starting_interval)*Table2[[#This Row],[followers7]]/Table2[[#This Row],[group size7]],""))</f>
        <v/>
      </c>
      <c r="AT100" s="72">
        <f>COUNT(Table2[[#This Row],[Tee time1]],Table2[[#This Row],[tee time2]],Table2[[#This Row],[tee time3]],Table2[[#This Row],[tee time4]],Table2[[#This Row],[tee time5]],Table2[[#This Row],[tee time6]],Table2[[#This Row],[tee time7]])</f>
        <v>1</v>
      </c>
      <c r="AU100" s="4">
        <f>IFERROR(AVERAGE(Table2[[#This Row],[Tee time1]],Table2[[#This Row],[tee time2]],Table2[[#This Row],[tee time3]],Table2[[#This Row],[tee time4]],Table2[[#This Row],[tee time5]],Table2[[#This Row],[tee time6]],Table2[[#This Row],[tee time7]]),"")</f>
        <v>0.40972222222222227</v>
      </c>
      <c r="AV100" s="11">
        <f>IFERROR(MEDIAN(Table2[[#This Row],[round1]],Table2[[#This Row],[Round2]],Table2[[#This Row],[round3]],Table2[[#This Row],[round4]],Table2[[#This Row],[round5]],Table2[[#This Row],[round6]],Table2[[#This Row],[round7]]),"")</f>
        <v>0.17222222222222217</v>
      </c>
      <c r="AW100" s="11">
        <f>IFERROR(AVERAGE(Table2[[#This Row],[gap1]],Table2[[#This Row],[gap2]],Table2[[#This Row],[gap3]],Table2[[#This Row],[gap4]],Table2[[#This Row],[gap5]],Table2[[#This Row],[gap6]],Table2[[#This Row],[gap7]]),"")</f>
        <v>7.6388888888887507E-3</v>
      </c>
      <c r="AX100" s="9">
        <f>IFERROR((Table2[[#This Row],[avg gap]]-starting_interval)*24*60*Table2[[#This Row],[Count]],"NA")</f>
        <v>0.9999999999998016</v>
      </c>
      <c r="AY10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4.16666666666584E-3</v>
      </c>
      <c r="AZ100" s="2"/>
    </row>
    <row r="101" spans="1:52" x14ac:dyDescent="0.3">
      <c r="A101" s="10" t="s">
        <v>15</v>
      </c>
      <c r="B101" s="1" t="s">
        <v>253</v>
      </c>
      <c r="C101" s="19">
        <v>5.2</v>
      </c>
      <c r="D101" s="32" t="str">
        <f>_xlfn.IFNA(VLOOKUP(Table2[[#This Row],[Name]],'Classic day 1 - players'!$A$2:$B$64,2,FALSE),"")</f>
        <v/>
      </c>
      <c r="E101" s="33" t="str">
        <f>IF(Table2[[#This Row],[Tee time1]]&lt;&gt;"",COUNTIF('Classic day 1 - players'!$B$2:$B$64,"="&amp;Table2[[#This Row],[Tee time1]]),"")</f>
        <v/>
      </c>
      <c r="F101" s="33" t="str">
        <f>_xlfn.IFNA(VLOOKUP(Table2[[#This Row],[Tee time1]],'Classic day 1 - groups'!$A$3:$F$20,6,FALSE),"")</f>
        <v/>
      </c>
      <c r="G101" s="11" t="str">
        <f>_xlfn.IFNA(VLOOKUP(Table2[[#This Row],[Tee time1]],'Classic day 1 - groups'!$A$3:$F$20,4,FALSE),"")</f>
        <v/>
      </c>
      <c r="H101" s="12" t="str">
        <f>_xlfn.IFNA(VLOOKUP(Table2[[#This Row],[Tee time1]],'Classic day 1 - groups'!$A$3:$F$20,5,FALSE),"")</f>
        <v/>
      </c>
      <c r="I101" s="69" t="str">
        <f>IFERROR((MAX(starting_interval,IF(Table2[[#This Row],[gap1]]="NA",Table2[[#This Row],[avg gap]],Table2[[#This Row],[gap1]]))-starting_interval)*Table2[[#This Row],[followers1]]/Table2[[#This Row],[group size]],"")</f>
        <v/>
      </c>
      <c r="J101" s="32" t="str">
        <f>_xlfn.IFNA(VLOOKUP(Table2[[#This Row],[Name]],'Classic day 2 - players'!$A$2:$B$64,2,FALSE),"")</f>
        <v/>
      </c>
      <c r="K101" s="33" t="str">
        <f>IF(Table2[[#This Row],[tee time2]]&lt;&gt;"",COUNTIF('Classic day 2 - players'!$B$2:$B$64,"="&amp;Table2[[#This Row],[tee time2]]),"")</f>
        <v/>
      </c>
      <c r="L101" s="33" t="str">
        <f>_xlfn.IFNA(VLOOKUP(Table2[[#This Row],[tee time2]],'Classic day 2 - groups'!$A$3:$F$20,6,FALSE),"")</f>
        <v/>
      </c>
      <c r="M101" s="4" t="str">
        <f>_xlfn.IFNA(VLOOKUP(Table2[[#This Row],[tee time2]],'Classic day 2 - groups'!$A$3:$F$20,4,FALSE),"")</f>
        <v/>
      </c>
      <c r="N101" s="65" t="str">
        <f>_xlfn.IFNA(VLOOKUP(Table2[[#This Row],[tee time2]],'Classic day 2 - groups'!$A$3:$F$20,5,FALSE),"")</f>
        <v/>
      </c>
      <c r="O101" s="69" t="str">
        <f>IFERROR((MAX(starting_interval,IF(Table2[[#This Row],[gap2]]="NA",Table2[[#This Row],[avg gap]],Table2[[#This Row],[gap2]]))-starting_interval)*Table2[[#This Row],[followers2]]/Table2[[#This Row],[group size2]],"")</f>
        <v/>
      </c>
      <c r="P101" s="32" t="str">
        <f>_xlfn.IFNA(VLOOKUP(Table2[[#This Row],[Name]],'Summer FD - players'!$A$2:$B$65,2,FALSE),"")</f>
        <v/>
      </c>
      <c r="Q101" s="59" t="str">
        <f>IF(Table2[[#This Row],[tee time3]]&lt;&gt;"",COUNTIF('Summer FD - players'!$B$2:$B$65,"="&amp;Table2[[#This Row],[tee time3]]),"")</f>
        <v/>
      </c>
      <c r="R101" s="59" t="str">
        <f>_xlfn.IFNA(VLOOKUP(Table2[[#This Row],[tee time3]],'Summer FD - groups'!$A$3:$F$20,6,FALSE),"")</f>
        <v/>
      </c>
      <c r="S101" s="4" t="str">
        <f>_xlfn.IFNA(VLOOKUP(Table2[[#This Row],[tee time3]],'Summer FD - groups'!$A$3:$F$20,4,FALSE),"")</f>
        <v/>
      </c>
      <c r="T101" s="13" t="str">
        <f>_xlfn.IFNA(VLOOKUP(Table2[[#This Row],[tee time3]],'Summer FD - groups'!$A$3:$F$20,5,FALSE),"")</f>
        <v/>
      </c>
      <c r="U101" s="69" t="str">
        <f>IF(Table2[[#This Row],[avg gap]]&lt;&gt;"",IFERROR((MAX(starting_interval,IF(Table2[[#This Row],[gap3]]="NA",Table2[[#This Row],[avg gap]],Table2[[#This Row],[gap3]]))-starting_interval)*Table2[[#This Row],[followers3]]/Table2[[#This Row],[group size3]],""),"")</f>
        <v/>
      </c>
      <c r="V101" s="32">
        <f>_xlfn.IFNA(VLOOKUP(Table2[[#This Row],[Name]],'6-6-6 - players'!$A$2:$B$69,2,FALSE),"")</f>
        <v>0.40972222222222227</v>
      </c>
      <c r="W101" s="59">
        <f>IF(Table2[[#This Row],[tee time4]]&lt;&gt;"",COUNTIF('6-6-6 - players'!$B$2:$B$69,"="&amp;Table2[[#This Row],[tee time4]]),"")</f>
        <v>4</v>
      </c>
      <c r="X101" s="59">
        <f>_xlfn.IFNA(VLOOKUP(Table2[[#This Row],[tee time4]],'6-6-6 - groups'!$A$3:$F$20,6,FALSE),"")</f>
        <v>24</v>
      </c>
      <c r="Y101" s="4">
        <f>_xlfn.IFNA(VLOOKUP(Table2[[#This Row],[tee time4]],'6-6-6 - groups'!$A$3:$F$20,4,FALSE),"")</f>
        <v>0.17222222222222217</v>
      </c>
      <c r="Z101" s="13">
        <f>_xlfn.IFNA(VLOOKUP(Table2[[#This Row],[tee time4]],'6-6-6 - groups'!$A$3:$F$20,5,FALSE),"")</f>
        <v>7.6388888888887507E-3</v>
      </c>
      <c r="AA101" s="69">
        <f>IF(Table2[[#This Row],[avg gap]]&lt;&gt;"",IFERROR((MAX(starting_interval,IF(Table2[[#This Row],[gap4]]="NA",Table2[[#This Row],[avg gap]],Table2[[#This Row],[gap4]]))-starting_interval)*Table2[[#This Row],[followers4]]/Table2[[#This Row],[group size4]],""),"")</f>
        <v>4.16666666666584E-3</v>
      </c>
      <c r="AB101" s="32">
        <f>_xlfn.IFNA(VLOOKUP(Table2[[#This Row],[Name]],'Fall FD - players'!$A$2:$B$65,2,FALSE),"")</f>
        <v>0.36527777777777781</v>
      </c>
      <c r="AC101" s="59">
        <f>IF(Table2[[#This Row],[tee time5]]&lt;&gt;"",COUNTIF('Fall FD - players'!$B$2:$B$65,"="&amp;Table2[[#This Row],[tee time5]]),"")</f>
        <v>3</v>
      </c>
      <c r="AD101" s="59">
        <f>_xlfn.IFNA(VLOOKUP(Table2[[#This Row],[tee time5]],'Fall FD - groups'!$A$3:$F$20,6,FALSE),"")</f>
        <v>52</v>
      </c>
      <c r="AE101" s="4">
        <f>_xlfn.IFNA(VLOOKUP(Table2[[#This Row],[tee time5]],'Fall FD - groups'!$A$3:$F$20,4,FALSE),"")</f>
        <v>0.17152777777777778</v>
      </c>
      <c r="AF101" s="13">
        <f>IFERROR(MIN(_xlfn.IFNA(VLOOKUP(Table2[[#This Row],[tee time5]],'Fall FD - groups'!$A$3:$F$20,5,FALSE),""),starting_interval + Table2[[#This Row],[round5]] - standard_round_time),"")</f>
        <v>4.8611111111110938E-3</v>
      </c>
      <c r="AG101" s="69">
        <f>IF(AND(Table2[[#This Row],[gap5]]="NA",Table2[[#This Row],[round5]]&lt;4/24),0,IFERROR((MAX(starting_interval,IF(Table2[[#This Row],[gap5]]="NA",Table2[[#This Row],[avg gap]],Table2[[#This Row],[gap5]]))-starting_interval)*Table2[[#This Row],[followers5]]/Table2[[#This Row],[group size5]],""))</f>
        <v>0</v>
      </c>
      <c r="AH101" s="32" t="str">
        <f>_xlfn.IFNA(VLOOKUP(Table2[[#This Row],[Name]],'Stableford - players'!$A$2:$B$65,2,FALSE),"")</f>
        <v/>
      </c>
      <c r="AI101" s="59" t="str">
        <f>IF(Table2[[#This Row],[tee time6]]&lt;&gt;"",COUNTIF('Stableford - players'!$B$2:$B$65,"="&amp;Table2[[#This Row],[tee time6]]),"")</f>
        <v/>
      </c>
      <c r="AJ101" s="59" t="str">
        <f>_xlfn.IFNA(VLOOKUP(Table2[[#This Row],[tee time6]],'Stableford - groups'!$A$3:$F$20,6,FALSE),"")</f>
        <v/>
      </c>
      <c r="AK101" s="11" t="str">
        <f>_xlfn.IFNA(VLOOKUP(Table2[[#This Row],[tee time6]],'Stableford - groups'!$A$3:$F$20,4,FALSE),"")</f>
        <v/>
      </c>
      <c r="AL101" s="13" t="str">
        <f>_xlfn.IFNA(VLOOKUP(Table2[[#This Row],[tee time6]],'Stableford - groups'!$A$3:$F$20,5,FALSE),"")</f>
        <v/>
      </c>
      <c r="AM101" s="68" t="str">
        <f>IF(AND(Table2[[#This Row],[gap6]]="NA",Table2[[#This Row],[round6]]&lt;4/24),0,IFERROR((MAX(starting_interval,IF(Table2[[#This Row],[gap6]]="NA",Table2[[#This Row],[avg gap]],Table2[[#This Row],[gap6]]))-starting_interval)*Table2[[#This Row],[followers6]]/Table2[[#This Row],[group size6]],""))</f>
        <v/>
      </c>
      <c r="AN101" s="32" t="str">
        <f>_xlfn.IFNA(VLOOKUP(Table2[[#This Row],[Name]],'Turkey Shoot - players'!$A$2:$B$65,2,FALSE),"")</f>
        <v/>
      </c>
      <c r="AO101" s="59" t="str">
        <f>IF(Table2[[#This Row],[tee time7]]&lt;&gt;"",COUNTIF('Turkey Shoot - players'!$B$2:$B$65,"="&amp;Table2[[#This Row],[tee time7]]),"")</f>
        <v/>
      </c>
      <c r="AP101" s="59" t="str">
        <f>_xlfn.IFNA(VLOOKUP(Table2[[#This Row],[tee time7]],'Stableford - groups'!$A$3:$F$20,6,FALSE),"")</f>
        <v/>
      </c>
      <c r="AQ101" s="11" t="str">
        <f>_xlfn.IFNA(VLOOKUP(Table2[[#This Row],[tee time7]],'Turkey Shoot - groups'!$A$3:$F$20,4,FALSE),"")</f>
        <v/>
      </c>
      <c r="AR101" s="13" t="str">
        <f>_xlfn.IFNA(VLOOKUP(Table2[[#This Row],[tee time7]],'Turkey Shoot - groups'!$A$3:$F$20,5,FALSE),"")</f>
        <v/>
      </c>
      <c r="AS101" s="68" t="str">
        <f>IF(AND(Table2[[#This Row],[gap7]]="NA",Table2[[#This Row],[round7]]&lt;4/24),0,IFERROR((MAX(starting_interval,IF(Table2[[#This Row],[gap7]]="NA",Table2[[#This Row],[avg gap]],Table2[[#This Row],[gap7]]))-starting_interval)*Table2[[#This Row],[followers7]]/Table2[[#This Row],[group size7]],""))</f>
        <v/>
      </c>
      <c r="AT101" s="72">
        <f>COUNT(Table2[[#This Row],[Tee time1]],Table2[[#This Row],[tee time2]],Table2[[#This Row],[tee time3]],Table2[[#This Row],[tee time4]],Table2[[#This Row],[tee time5]],Table2[[#This Row],[tee time6]],Table2[[#This Row],[tee time7]])</f>
        <v>2</v>
      </c>
      <c r="AU101" s="4">
        <f>IFERROR(AVERAGE(Table2[[#This Row],[Tee time1]],Table2[[#This Row],[tee time2]],Table2[[#This Row],[tee time3]],Table2[[#This Row],[tee time4]],Table2[[#This Row],[tee time5]],Table2[[#This Row],[tee time6]],Table2[[#This Row],[tee time7]]),"")</f>
        <v>0.38750000000000007</v>
      </c>
      <c r="AV101" s="11">
        <f>IFERROR(MEDIAN(Table2[[#This Row],[round1]],Table2[[#This Row],[Round2]],Table2[[#This Row],[round3]],Table2[[#This Row],[round4]],Table2[[#This Row],[round5]],Table2[[#This Row],[round6]],Table2[[#This Row],[round7]]),"")</f>
        <v>0.17187499999999997</v>
      </c>
      <c r="AW101" s="11">
        <f>IFERROR(AVERAGE(Table2[[#This Row],[gap1]],Table2[[#This Row],[gap2]],Table2[[#This Row],[gap3]],Table2[[#This Row],[gap4]],Table2[[#This Row],[gap5]],Table2[[#This Row],[gap6]],Table2[[#This Row],[gap7]]),"")</f>
        <v>6.2499999999999223E-3</v>
      </c>
      <c r="AX101" s="9">
        <f>IFERROR((Table2[[#This Row],[avg gap]]-starting_interval)*24*60*Table2[[#This Row],[Count]],"NA")</f>
        <v>-2.0000000000002229</v>
      </c>
      <c r="AY10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4.16666666666584E-3</v>
      </c>
      <c r="AZ101" s="2"/>
    </row>
    <row r="102" spans="1:52" x14ac:dyDescent="0.3">
      <c r="A102" s="10" t="s">
        <v>129</v>
      </c>
      <c r="B102" s="1" t="s">
        <v>370</v>
      </c>
      <c r="C102" s="19">
        <v>14.4</v>
      </c>
      <c r="D102" s="32" t="str">
        <f>_xlfn.IFNA(VLOOKUP(Table2[[#This Row],[Name]],'Classic day 1 - players'!$A$2:$B$64,2,FALSE),"")</f>
        <v/>
      </c>
      <c r="E102" s="33" t="str">
        <f>IF(Table2[[#This Row],[Tee time1]]&lt;&gt;"",COUNTIF('Classic day 1 - players'!$B$2:$B$64,"="&amp;Table2[[#This Row],[Tee time1]]),"")</f>
        <v/>
      </c>
      <c r="F102" s="33" t="str">
        <f>_xlfn.IFNA(VLOOKUP(Table2[[#This Row],[Tee time1]],'Classic day 1 - groups'!$A$3:$F$20,6,FALSE),"")</f>
        <v/>
      </c>
      <c r="G102" s="11" t="str">
        <f>_xlfn.IFNA(VLOOKUP(Table2[[#This Row],[Tee time1]],'Classic day 1 - groups'!$A$3:$F$20,4,FALSE),"")</f>
        <v/>
      </c>
      <c r="H102" s="12" t="str">
        <f>_xlfn.IFNA(VLOOKUP(Table2[[#This Row],[Tee time1]],'Classic day 1 - groups'!$A$3:$F$20,5,FALSE),"")</f>
        <v/>
      </c>
      <c r="I102" s="69" t="str">
        <f>IFERROR((MAX(starting_interval,IF(Table2[[#This Row],[gap1]]="NA",Table2[[#This Row],[avg gap]],Table2[[#This Row],[gap1]]))-starting_interval)*Table2[[#This Row],[followers1]]/Table2[[#This Row],[group size]],"")</f>
        <v/>
      </c>
      <c r="J102" s="32" t="str">
        <f>_xlfn.IFNA(VLOOKUP(Table2[[#This Row],[Name]],'Classic day 2 - players'!$A$2:$B$64,2,FALSE),"")</f>
        <v/>
      </c>
      <c r="K102" s="33" t="str">
        <f>IF(Table2[[#This Row],[tee time2]]&lt;&gt;"",COUNTIF('Classic day 2 - players'!$B$2:$B$64,"="&amp;Table2[[#This Row],[tee time2]]),"")</f>
        <v/>
      </c>
      <c r="L102" s="33" t="str">
        <f>_xlfn.IFNA(VLOOKUP(Table2[[#This Row],[tee time2]],'Classic day 2 - groups'!$A$3:$F$20,6,FALSE),"")</f>
        <v/>
      </c>
      <c r="M102" s="4" t="str">
        <f>_xlfn.IFNA(VLOOKUP(Table2[[#This Row],[tee time2]],'Classic day 2 - groups'!$A$3:$F$20,4,FALSE),"")</f>
        <v/>
      </c>
      <c r="N102" s="65" t="str">
        <f>_xlfn.IFNA(VLOOKUP(Table2[[#This Row],[tee time2]],'Classic day 2 - groups'!$A$3:$F$20,5,FALSE),"")</f>
        <v/>
      </c>
      <c r="O102" s="69" t="str">
        <f>IFERROR((MAX(starting_interval,IF(Table2[[#This Row],[gap2]]="NA",Table2[[#This Row],[avg gap]],Table2[[#This Row],[gap2]]))-starting_interval)*Table2[[#This Row],[followers2]]/Table2[[#This Row],[group size2]],"")</f>
        <v/>
      </c>
      <c r="P102" s="32" t="str">
        <f>_xlfn.IFNA(VLOOKUP(Table2[[#This Row],[Name]],'Summer FD - players'!$A$2:$B$65,2,FALSE),"")</f>
        <v/>
      </c>
      <c r="Q102" s="59" t="str">
        <f>IF(Table2[[#This Row],[tee time3]]&lt;&gt;"",COUNTIF('Summer FD - players'!$B$2:$B$65,"="&amp;Table2[[#This Row],[tee time3]]),"")</f>
        <v/>
      </c>
      <c r="R102" s="59" t="str">
        <f>_xlfn.IFNA(VLOOKUP(Table2[[#This Row],[tee time3]],'Summer FD - groups'!$A$3:$F$20,6,FALSE),"")</f>
        <v/>
      </c>
      <c r="S102" s="4" t="str">
        <f>_xlfn.IFNA(VLOOKUP(Table2[[#This Row],[tee time3]],'Summer FD - groups'!$A$3:$F$20,4,FALSE),"")</f>
        <v/>
      </c>
      <c r="T102" s="13" t="str">
        <f>_xlfn.IFNA(VLOOKUP(Table2[[#This Row],[tee time3]],'Summer FD - groups'!$A$3:$F$20,5,FALSE),"")</f>
        <v/>
      </c>
      <c r="U102" s="69" t="str">
        <f>IF(Table2[[#This Row],[avg gap]]&lt;&gt;"",IFERROR((MAX(starting_interval,IF(Table2[[#This Row],[gap3]]="NA",Table2[[#This Row],[avg gap]],Table2[[#This Row],[gap3]]))-starting_interval)*Table2[[#This Row],[followers3]]/Table2[[#This Row],[group size3]],""),"")</f>
        <v/>
      </c>
      <c r="V102" s="32" t="str">
        <f>_xlfn.IFNA(VLOOKUP(Table2[[#This Row],[Name]],'6-6-6 - players'!$A$2:$B$69,2,FALSE),"")</f>
        <v/>
      </c>
      <c r="W102" s="59" t="str">
        <f>IF(Table2[[#This Row],[tee time4]]&lt;&gt;"",COUNTIF('6-6-6 - players'!$B$2:$B$69,"="&amp;Table2[[#This Row],[tee time4]]),"")</f>
        <v/>
      </c>
      <c r="X102" s="59" t="str">
        <f>_xlfn.IFNA(VLOOKUP(Table2[[#This Row],[tee time4]],'6-6-6 - groups'!$A$3:$F$20,6,FALSE),"")</f>
        <v/>
      </c>
      <c r="Y102" s="4" t="str">
        <f>_xlfn.IFNA(VLOOKUP(Table2[[#This Row],[tee time4]],'6-6-6 - groups'!$A$3:$F$20,4,FALSE),"")</f>
        <v/>
      </c>
      <c r="Z102" s="13" t="str">
        <f>_xlfn.IFNA(VLOOKUP(Table2[[#This Row],[tee time4]],'6-6-6 - groups'!$A$3:$F$20,5,FALSE),"")</f>
        <v/>
      </c>
      <c r="AA102" s="69" t="str">
        <f>IF(Table2[[#This Row],[avg gap]]&lt;&gt;"",IFERROR((MAX(starting_interval,IF(Table2[[#This Row],[gap4]]="NA",Table2[[#This Row],[avg gap]],Table2[[#This Row],[gap4]]))-starting_interval)*Table2[[#This Row],[followers4]]/Table2[[#This Row],[group size4]],""),"")</f>
        <v/>
      </c>
      <c r="AB102" s="32">
        <f>_xlfn.IFNA(VLOOKUP(Table2[[#This Row],[Name]],'Fall FD - players'!$A$2:$B$65,2,FALSE),"")</f>
        <v>0.41388888888888892</v>
      </c>
      <c r="AC102" s="59">
        <f>IF(Table2[[#This Row],[tee time5]]&lt;&gt;"",COUNTIF('Fall FD - players'!$B$2:$B$65,"="&amp;Table2[[#This Row],[tee time5]]),"")</f>
        <v>4</v>
      </c>
      <c r="AD102" s="59">
        <f>_xlfn.IFNA(VLOOKUP(Table2[[#This Row],[tee time5]],'Fall FD - groups'!$A$3:$F$20,6,FALSE),"")</f>
        <v>24</v>
      </c>
      <c r="AE102" s="4">
        <f>_xlfn.IFNA(VLOOKUP(Table2[[#This Row],[tee time5]],'Fall FD - groups'!$A$3:$F$20,4,FALSE),"")</f>
        <v>0.1791666666666667</v>
      </c>
      <c r="AF102" s="13">
        <f>IFERROR(MIN(_xlfn.IFNA(VLOOKUP(Table2[[#This Row],[tee time5]],'Fall FD - groups'!$A$3:$F$20,5,FALSE),""),starting_interval + Table2[[#This Row],[round5]] - standard_round_time),"")</f>
        <v>6.2499999999999778E-3</v>
      </c>
      <c r="AG102" s="69">
        <f>IF(AND(Table2[[#This Row],[gap5]]="NA",Table2[[#This Row],[round5]]&lt;4/24),0,IFERROR((MAX(starting_interval,IF(Table2[[#This Row],[gap5]]="NA",Table2[[#This Row],[avg gap]],Table2[[#This Row],[gap5]]))-starting_interval)*Table2[[#This Row],[followers5]]/Table2[[#This Row],[group size5]],""))</f>
        <v>0</v>
      </c>
      <c r="AH102" s="32">
        <f>_xlfn.IFNA(VLOOKUP(Table2[[#This Row],[Name]],'Stableford - players'!$A$2:$B$65,2,FALSE),"")</f>
        <v>0.41666666666666669</v>
      </c>
      <c r="AI102" s="59">
        <f>IF(Table2[[#This Row],[tee time6]]&lt;&gt;"",COUNTIF('Stableford - players'!$B$2:$B$65,"="&amp;Table2[[#This Row],[tee time6]]),"")</f>
        <v>3</v>
      </c>
      <c r="AJ102" s="59">
        <f>_xlfn.IFNA(VLOOKUP(Table2[[#This Row],[tee time6]],'Stableford - groups'!$A$3:$F$20,6,FALSE),"")</f>
        <v>12</v>
      </c>
      <c r="AK102" s="11">
        <f>_xlfn.IFNA(VLOOKUP(Table2[[#This Row],[tee time6]],'Stableford - groups'!$A$3:$F$20,4,FALSE),"")</f>
        <v>0.17291666666666666</v>
      </c>
      <c r="AL102" s="13">
        <f>_xlfn.IFNA(VLOOKUP(Table2[[#This Row],[tee time6]],'Stableford - groups'!$A$3:$F$20,5,FALSE),"")</f>
        <v>7.6388888888889728E-3</v>
      </c>
      <c r="AM102" s="68">
        <f>IF(AND(Table2[[#This Row],[gap6]]="NA",Table2[[#This Row],[round6]]&lt;4/24),0,IFERROR((MAX(starting_interval,IF(Table2[[#This Row],[gap6]]="NA",Table2[[#This Row],[avg gap]],Table2[[#This Row],[gap6]]))-starting_interval)*Table2[[#This Row],[followers6]]/Table2[[#This Row],[group size6]],""))</f>
        <v>2.7777777777781149E-3</v>
      </c>
      <c r="AN102" s="32" t="str">
        <f>_xlfn.IFNA(VLOOKUP(Table2[[#This Row],[Name]],'Turkey Shoot - players'!$A$2:$B$65,2,FALSE),"")</f>
        <v/>
      </c>
      <c r="AO102" s="59" t="str">
        <f>IF(Table2[[#This Row],[tee time7]]&lt;&gt;"",COUNTIF('Turkey Shoot - players'!$B$2:$B$65,"="&amp;Table2[[#This Row],[tee time7]]),"")</f>
        <v/>
      </c>
      <c r="AP102" s="59" t="str">
        <f>_xlfn.IFNA(VLOOKUP(Table2[[#This Row],[tee time7]],'Stableford - groups'!$A$3:$F$20,6,FALSE),"")</f>
        <v/>
      </c>
      <c r="AQ102" s="11" t="str">
        <f>_xlfn.IFNA(VLOOKUP(Table2[[#This Row],[tee time7]],'Turkey Shoot - groups'!$A$3:$F$20,4,FALSE),"")</f>
        <v/>
      </c>
      <c r="AR102" s="13" t="str">
        <f>_xlfn.IFNA(VLOOKUP(Table2[[#This Row],[tee time7]],'Turkey Shoot - groups'!$A$3:$F$20,5,FALSE),"")</f>
        <v/>
      </c>
      <c r="AS102" s="68" t="str">
        <f>IF(AND(Table2[[#This Row],[gap7]]="NA",Table2[[#This Row],[round7]]&lt;4/24),0,IFERROR((MAX(starting_interval,IF(Table2[[#This Row],[gap7]]="NA",Table2[[#This Row],[avg gap]],Table2[[#This Row],[gap7]]))-starting_interval)*Table2[[#This Row],[followers7]]/Table2[[#This Row],[group size7]],""))</f>
        <v/>
      </c>
      <c r="AT102" s="72">
        <f>COUNT(Table2[[#This Row],[Tee time1]],Table2[[#This Row],[tee time2]],Table2[[#This Row],[tee time3]],Table2[[#This Row],[tee time4]],Table2[[#This Row],[tee time5]],Table2[[#This Row],[tee time6]],Table2[[#This Row],[tee time7]])</f>
        <v>2</v>
      </c>
      <c r="AU102" s="4">
        <f>IFERROR(AVERAGE(Table2[[#This Row],[Tee time1]],Table2[[#This Row],[tee time2]],Table2[[#This Row],[tee time3]],Table2[[#This Row],[tee time4]],Table2[[#This Row],[tee time5]],Table2[[#This Row],[tee time6]],Table2[[#This Row],[tee time7]]),"")</f>
        <v>0.4152777777777778</v>
      </c>
      <c r="AV102" s="11">
        <f>IFERROR(MEDIAN(Table2[[#This Row],[round1]],Table2[[#This Row],[Round2]],Table2[[#This Row],[round3]],Table2[[#This Row],[round4]],Table2[[#This Row],[round5]],Table2[[#This Row],[round6]],Table2[[#This Row],[round7]]),"")</f>
        <v>0.17604166666666668</v>
      </c>
      <c r="AW102" s="11">
        <f>IFERROR(AVERAGE(Table2[[#This Row],[gap1]],Table2[[#This Row],[gap2]],Table2[[#This Row],[gap3]],Table2[[#This Row],[gap4]],Table2[[#This Row],[gap5]],Table2[[#This Row],[gap6]],Table2[[#This Row],[gap7]]),"")</f>
        <v>6.9444444444444753E-3</v>
      </c>
      <c r="AX102" s="9">
        <f>IFERROR((Table2[[#This Row],[avg gap]]-starting_interval)*24*60*Table2[[#This Row],[Count]],"NA")</f>
        <v>8.992806499463768E-14</v>
      </c>
      <c r="AY10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2.7777777777781149E-3</v>
      </c>
      <c r="AZ102" s="2"/>
    </row>
    <row r="103" spans="1:52" x14ac:dyDescent="0.3">
      <c r="A103" s="10" t="s">
        <v>148</v>
      </c>
      <c r="B103" s="1" t="s">
        <v>389</v>
      </c>
      <c r="C103" s="19">
        <v>17.2</v>
      </c>
      <c r="D103" s="32">
        <f>_xlfn.IFNA(VLOOKUP(Table2[[#This Row],[Name]],'Classic day 1 - players'!$A$2:$B$64,2,FALSE),"")</f>
        <v>0.42708333333333331</v>
      </c>
      <c r="E103" s="33">
        <f>IF(Table2[[#This Row],[Tee time1]]&lt;&gt;"",COUNTIF('Classic day 1 - players'!$B$2:$B$64,"="&amp;Table2[[#This Row],[Tee time1]]),"")</f>
        <v>4</v>
      </c>
      <c r="F103" s="33">
        <f>_xlfn.IFNA(VLOOKUP(Table2[[#This Row],[Tee time1]],'Classic day 1 - groups'!$A$3:$F$20,6,FALSE),"")</f>
        <v>8</v>
      </c>
      <c r="G103" s="11">
        <f>_xlfn.IFNA(VLOOKUP(Table2[[#This Row],[Tee time1]],'Classic day 1 - groups'!$A$3:$F$20,4,FALSE),"")</f>
        <v>0.1958333333333333</v>
      </c>
      <c r="H103" s="12">
        <f>_xlfn.IFNA(VLOOKUP(Table2[[#This Row],[Tee time1]],'Classic day 1 - groups'!$A$3:$F$20,5,FALSE),"")</f>
        <v>3.4722222222222099E-3</v>
      </c>
      <c r="I103" s="69">
        <f>IFERROR((MAX(starting_interval,IF(Table2[[#This Row],[gap1]]="NA",Table2[[#This Row],[avg gap]],Table2[[#This Row],[gap1]]))-starting_interval)*Table2[[#This Row],[followers1]]/Table2[[#This Row],[group size]],"")</f>
        <v>0</v>
      </c>
      <c r="J103" s="32">
        <f>_xlfn.IFNA(VLOOKUP(Table2[[#This Row],[Name]],'Classic day 2 - players'!$A$2:$B$64,2,FALSE),"")</f>
        <v>0.38958333333333334</v>
      </c>
      <c r="K103" s="33">
        <f>IF(Table2[[#This Row],[tee time2]]&lt;&gt;"",COUNTIF('Classic day 2 - players'!$B$2:$B$64,"="&amp;Table2[[#This Row],[tee time2]]),"")</f>
        <v>4</v>
      </c>
      <c r="L103" s="33">
        <f>_xlfn.IFNA(VLOOKUP(Table2[[#This Row],[tee time2]],'Classic day 2 - groups'!$A$3:$F$20,6,FALSE),"")</f>
        <v>16</v>
      </c>
      <c r="M103" s="4">
        <f>_xlfn.IFNA(VLOOKUP(Table2[[#This Row],[tee time2]],'Classic day 2 - groups'!$A$3:$F$20,4,FALSE),"")</f>
        <v>0.18611111111111112</v>
      </c>
      <c r="N103" s="65">
        <f>_xlfn.IFNA(VLOOKUP(Table2[[#This Row],[tee time2]],'Classic day 2 - groups'!$A$3:$F$20,5,FALSE),"")</f>
        <v>4.1666666666666666E-3</v>
      </c>
      <c r="O103" s="69">
        <f>IFERROR((MAX(starting_interval,IF(Table2[[#This Row],[gap2]]="NA",Table2[[#This Row],[avg gap]],Table2[[#This Row],[gap2]]))-starting_interval)*Table2[[#This Row],[followers2]]/Table2[[#This Row],[group size2]],"")</f>
        <v>0</v>
      </c>
      <c r="P103" s="32" t="str">
        <f>_xlfn.IFNA(VLOOKUP(Table2[[#This Row],[Name]],'Summer FD - players'!$A$2:$B$65,2,FALSE),"")</f>
        <v/>
      </c>
      <c r="Q103" s="59" t="str">
        <f>IF(Table2[[#This Row],[tee time3]]&lt;&gt;"",COUNTIF('Summer FD - players'!$B$2:$B$65,"="&amp;Table2[[#This Row],[tee time3]]),"")</f>
        <v/>
      </c>
      <c r="R103" s="59" t="str">
        <f>_xlfn.IFNA(VLOOKUP(Table2[[#This Row],[tee time3]],'Summer FD - groups'!$A$3:$F$20,6,FALSE),"")</f>
        <v/>
      </c>
      <c r="S103" s="4" t="str">
        <f>_xlfn.IFNA(VLOOKUP(Table2[[#This Row],[tee time3]],'Summer FD - groups'!$A$3:$F$20,4,FALSE),"")</f>
        <v/>
      </c>
      <c r="T103" s="13" t="str">
        <f>_xlfn.IFNA(VLOOKUP(Table2[[#This Row],[tee time3]],'Summer FD - groups'!$A$3:$F$20,5,FALSE),"")</f>
        <v/>
      </c>
      <c r="U103" s="69" t="str">
        <f>IF(Table2[[#This Row],[avg gap]]&lt;&gt;"",IFERROR((MAX(starting_interval,IF(Table2[[#This Row],[gap3]]="NA",Table2[[#This Row],[avg gap]],Table2[[#This Row],[gap3]]))-starting_interval)*Table2[[#This Row],[followers3]]/Table2[[#This Row],[group size3]],""),"")</f>
        <v/>
      </c>
      <c r="V103" s="32" t="str">
        <f>_xlfn.IFNA(VLOOKUP(Table2[[#This Row],[Name]],'6-6-6 - players'!$A$2:$B$69,2,FALSE),"")</f>
        <v/>
      </c>
      <c r="W103" s="59" t="str">
        <f>IF(Table2[[#This Row],[tee time4]]&lt;&gt;"",COUNTIF('6-6-6 - players'!$B$2:$B$69,"="&amp;Table2[[#This Row],[tee time4]]),"")</f>
        <v/>
      </c>
      <c r="X103" s="59" t="str">
        <f>_xlfn.IFNA(VLOOKUP(Table2[[#This Row],[tee time4]],'6-6-6 - groups'!$A$3:$F$20,6,FALSE),"")</f>
        <v/>
      </c>
      <c r="Y103" s="4" t="str">
        <f>_xlfn.IFNA(VLOOKUP(Table2[[#This Row],[tee time4]],'6-6-6 - groups'!$A$3:$F$20,4,FALSE),"")</f>
        <v/>
      </c>
      <c r="Z103" s="13" t="str">
        <f>_xlfn.IFNA(VLOOKUP(Table2[[#This Row],[tee time4]],'6-6-6 - groups'!$A$3:$F$20,5,FALSE),"")</f>
        <v/>
      </c>
      <c r="AA103" s="69" t="str">
        <f>IF(Table2[[#This Row],[avg gap]]&lt;&gt;"",IFERROR((MAX(starting_interval,IF(Table2[[#This Row],[gap4]]="NA",Table2[[#This Row],[avg gap]],Table2[[#This Row],[gap4]]))-starting_interval)*Table2[[#This Row],[followers4]]/Table2[[#This Row],[group size4]],""),"")</f>
        <v/>
      </c>
      <c r="AB103" s="32">
        <f>_xlfn.IFNA(VLOOKUP(Table2[[#This Row],[Name]],'Fall FD - players'!$A$2:$B$65,2,FALSE),"")</f>
        <v>0.41388888888888892</v>
      </c>
      <c r="AC103" s="59">
        <f>IF(Table2[[#This Row],[tee time5]]&lt;&gt;"",COUNTIF('Fall FD - players'!$B$2:$B$65,"="&amp;Table2[[#This Row],[tee time5]]),"")</f>
        <v>4</v>
      </c>
      <c r="AD103" s="59">
        <f>_xlfn.IFNA(VLOOKUP(Table2[[#This Row],[tee time5]],'Fall FD - groups'!$A$3:$F$20,6,FALSE),"")</f>
        <v>24</v>
      </c>
      <c r="AE103" s="4">
        <f>_xlfn.IFNA(VLOOKUP(Table2[[#This Row],[tee time5]],'Fall FD - groups'!$A$3:$F$20,4,FALSE),"")</f>
        <v>0.1791666666666667</v>
      </c>
      <c r="AF103" s="13">
        <f>IFERROR(MIN(_xlfn.IFNA(VLOOKUP(Table2[[#This Row],[tee time5]],'Fall FD - groups'!$A$3:$F$20,5,FALSE),""),starting_interval + Table2[[#This Row],[round5]] - standard_round_time),"")</f>
        <v>6.2499999999999778E-3</v>
      </c>
      <c r="AG103" s="69">
        <f>IF(AND(Table2[[#This Row],[gap5]]="NA",Table2[[#This Row],[round5]]&lt;4/24),0,IFERROR((MAX(starting_interval,IF(Table2[[#This Row],[gap5]]="NA",Table2[[#This Row],[avg gap]],Table2[[#This Row],[gap5]]))-starting_interval)*Table2[[#This Row],[followers5]]/Table2[[#This Row],[group size5]],""))</f>
        <v>0</v>
      </c>
      <c r="AH103" s="32">
        <f>_xlfn.IFNA(VLOOKUP(Table2[[#This Row],[Name]],'Stableford - players'!$A$2:$B$65,2,FALSE),"")</f>
        <v>0.41666666666666669</v>
      </c>
      <c r="AI103" s="59">
        <f>IF(Table2[[#This Row],[tee time6]]&lt;&gt;"",COUNTIF('Stableford - players'!$B$2:$B$65,"="&amp;Table2[[#This Row],[tee time6]]),"")</f>
        <v>3</v>
      </c>
      <c r="AJ103" s="59">
        <f>_xlfn.IFNA(VLOOKUP(Table2[[#This Row],[tee time6]],'Stableford - groups'!$A$3:$F$20,6,FALSE),"")</f>
        <v>12</v>
      </c>
      <c r="AK103" s="11">
        <f>_xlfn.IFNA(VLOOKUP(Table2[[#This Row],[tee time6]],'Stableford - groups'!$A$3:$F$20,4,FALSE),"")</f>
        <v>0.17291666666666666</v>
      </c>
      <c r="AL103" s="13">
        <f>_xlfn.IFNA(VLOOKUP(Table2[[#This Row],[tee time6]],'Stableford - groups'!$A$3:$F$20,5,FALSE),"")</f>
        <v>7.6388888888889728E-3</v>
      </c>
      <c r="AM103" s="68">
        <f>IF(AND(Table2[[#This Row],[gap6]]="NA",Table2[[#This Row],[round6]]&lt;4/24),0,IFERROR((MAX(starting_interval,IF(Table2[[#This Row],[gap6]]="NA",Table2[[#This Row],[avg gap]],Table2[[#This Row],[gap6]]))-starting_interval)*Table2[[#This Row],[followers6]]/Table2[[#This Row],[group size6]],""))</f>
        <v>2.7777777777781149E-3</v>
      </c>
      <c r="AN103" s="32" t="str">
        <f>_xlfn.IFNA(VLOOKUP(Table2[[#This Row],[Name]],'Turkey Shoot - players'!$A$2:$B$65,2,FALSE),"")</f>
        <v/>
      </c>
      <c r="AO103" s="59" t="str">
        <f>IF(Table2[[#This Row],[tee time7]]&lt;&gt;"",COUNTIF('Turkey Shoot - players'!$B$2:$B$65,"="&amp;Table2[[#This Row],[tee time7]]),"")</f>
        <v/>
      </c>
      <c r="AP103" s="59" t="str">
        <f>_xlfn.IFNA(VLOOKUP(Table2[[#This Row],[tee time7]],'Stableford - groups'!$A$3:$F$20,6,FALSE),"")</f>
        <v/>
      </c>
      <c r="AQ103" s="11" t="str">
        <f>_xlfn.IFNA(VLOOKUP(Table2[[#This Row],[tee time7]],'Turkey Shoot - groups'!$A$3:$F$20,4,FALSE),"")</f>
        <v/>
      </c>
      <c r="AR103" s="13" t="str">
        <f>_xlfn.IFNA(VLOOKUP(Table2[[#This Row],[tee time7]],'Turkey Shoot - groups'!$A$3:$F$20,5,FALSE),"")</f>
        <v/>
      </c>
      <c r="AS103" s="68" t="str">
        <f>IF(AND(Table2[[#This Row],[gap7]]="NA",Table2[[#This Row],[round7]]&lt;4/24),0,IFERROR((MAX(starting_interval,IF(Table2[[#This Row],[gap7]]="NA",Table2[[#This Row],[avg gap]],Table2[[#This Row],[gap7]]))-starting_interval)*Table2[[#This Row],[followers7]]/Table2[[#This Row],[group size7]],""))</f>
        <v/>
      </c>
      <c r="AT103" s="72">
        <f>COUNT(Table2[[#This Row],[Tee time1]],Table2[[#This Row],[tee time2]],Table2[[#This Row],[tee time3]],Table2[[#This Row],[tee time4]],Table2[[#This Row],[tee time5]],Table2[[#This Row],[tee time6]],Table2[[#This Row],[tee time7]])</f>
        <v>4</v>
      </c>
      <c r="AU103" s="4">
        <f>IFERROR(AVERAGE(Table2[[#This Row],[Tee time1]],Table2[[#This Row],[tee time2]],Table2[[#This Row],[tee time3]],Table2[[#This Row],[tee time4]],Table2[[#This Row],[tee time5]],Table2[[#This Row],[tee time6]],Table2[[#This Row],[tee time7]]),"")</f>
        <v>0.41180555555555559</v>
      </c>
      <c r="AV103" s="11">
        <f>IFERROR(MEDIAN(Table2[[#This Row],[round1]],Table2[[#This Row],[Round2]],Table2[[#This Row],[round3]],Table2[[#This Row],[round4]],Table2[[#This Row],[round5]],Table2[[#This Row],[round6]],Table2[[#This Row],[round7]]),"")</f>
        <v>0.18263888888888891</v>
      </c>
      <c r="AW103" s="11">
        <f>IFERROR(AVERAGE(Table2[[#This Row],[gap1]],Table2[[#This Row],[gap2]],Table2[[#This Row],[gap3]],Table2[[#This Row],[gap4]],Table2[[#This Row],[gap5]],Table2[[#This Row],[gap6]],Table2[[#This Row],[gap7]]),"")</f>
        <v>5.3819444444444565E-3</v>
      </c>
      <c r="AX103" s="9">
        <f>IFERROR((Table2[[#This Row],[avg gap]]-starting_interval)*24*60*Table2[[#This Row],[Count]],"NA")</f>
        <v>-8.9999999999999289</v>
      </c>
      <c r="AY10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2.7777777777781149E-3</v>
      </c>
      <c r="AZ103" s="2"/>
    </row>
    <row r="104" spans="1:52" x14ac:dyDescent="0.3">
      <c r="A104" s="10" t="s">
        <v>178</v>
      </c>
      <c r="B104" s="1" t="s">
        <v>418</v>
      </c>
      <c r="C104" s="19">
        <v>8.4</v>
      </c>
      <c r="D104" s="32">
        <f>_xlfn.IFNA(VLOOKUP(Table2[[#This Row],[Name]],'Classic day 1 - players'!$A$2:$B$64,2,FALSE),"")</f>
        <v>0.40833333333333338</v>
      </c>
      <c r="E104" s="33">
        <f>IF(Table2[[#This Row],[Tee time1]]&lt;&gt;"",COUNTIF('Classic day 1 - players'!$B$2:$B$64,"="&amp;Table2[[#This Row],[Tee time1]]),"")</f>
        <v>3</v>
      </c>
      <c r="F104" s="33">
        <f>_xlfn.IFNA(VLOOKUP(Table2[[#This Row],[Tee time1]],'Classic day 1 - groups'!$A$3:$F$20,6,FALSE),"")</f>
        <v>20</v>
      </c>
      <c r="G104" s="11">
        <f>_xlfn.IFNA(VLOOKUP(Table2[[#This Row],[Tee time1]],'Classic day 1 - groups'!$A$3:$F$20,4,FALSE),"")</f>
        <v>0.2055555555555556</v>
      </c>
      <c r="H104" s="12">
        <f>_xlfn.IFNA(VLOOKUP(Table2[[#This Row],[Tee time1]],'Classic day 1 - groups'!$A$3:$F$20,5,FALSE),"")</f>
        <v>4.8611111111112049E-3</v>
      </c>
      <c r="I104" s="69">
        <f>IFERROR((MAX(starting_interval,IF(Table2[[#This Row],[gap1]]="NA",Table2[[#This Row],[avg gap]],Table2[[#This Row],[gap1]]))-starting_interval)*Table2[[#This Row],[followers1]]/Table2[[#This Row],[group size]],"")</f>
        <v>0</v>
      </c>
      <c r="J104" s="32">
        <f>_xlfn.IFNA(VLOOKUP(Table2[[#This Row],[Name]],'Classic day 2 - players'!$A$2:$B$64,2,FALSE),"")</f>
        <v>0.40833333333333338</v>
      </c>
      <c r="K104" s="33">
        <f>IF(Table2[[#This Row],[tee time2]]&lt;&gt;"",COUNTIF('Classic day 2 - players'!$B$2:$B$64,"="&amp;Table2[[#This Row],[tee time2]]),"")</f>
        <v>3</v>
      </c>
      <c r="L104" s="33">
        <f>_xlfn.IFNA(VLOOKUP(Table2[[#This Row],[tee time2]],'Classic day 2 - groups'!$A$3:$F$20,6,FALSE),"")</f>
        <v>4</v>
      </c>
      <c r="M104" s="4">
        <f>_xlfn.IFNA(VLOOKUP(Table2[[#This Row],[tee time2]],'Classic day 2 - groups'!$A$3:$F$20,4,FALSE),"")</f>
        <v>0.19236111111111112</v>
      </c>
      <c r="N104" s="65">
        <f>_xlfn.IFNA(VLOOKUP(Table2[[#This Row],[tee time2]],'Classic day 2 - groups'!$A$3:$F$20,5,FALSE),"")</f>
        <v>9.0277777777777787E-3</v>
      </c>
      <c r="O104" s="69">
        <f>IFERROR((MAX(starting_interval,IF(Table2[[#This Row],[gap2]]="NA",Table2[[#This Row],[avg gap]],Table2[[#This Row],[gap2]]))-starting_interval)*Table2[[#This Row],[followers2]]/Table2[[#This Row],[group size2]],"")</f>
        <v>2.7777777777777796E-3</v>
      </c>
      <c r="P104" s="32">
        <f>_xlfn.IFNA(VLOOKUP(Table2[[#This Row],[Name]],'Summer FD - players'!$A$2:$B$65,2,FALSE),"")</f>
        <v>0.39861111111111108</v>
      </c>
      <c r="Q104" s="59">
        <f>IF(Table2[[#This Row],[tee time3]]&lt;&gt;"",COUNTIF('Summer FD - players'!$B$2:$B$65,"="&amp;Table2[[#This Row],[tee time3]]),"")</f>
        <v>4</v>
      </c>
      <c r="R104" s="59">
        <f>_xlfn.IFNA(VLOOKUP(Table2[[#This Row],[tee time3]],'Summer FD - groups'!$A$3:$F$20,6,FALSE),"")</f>
        <v>24</v>
      </c>
      <c r="S104" s="4">
        <f>_xlfn.IFNA(VLOOKUP(Table2[[#This Row],[tee time3]],'Summer FD - groups'!$A$3:$F$20,4,FALSE),"")</f>
        <v>0.19722222222222224</v>
      </c>
      <c r="T104" s="13">
        <f>_xlfn.IFNA(VLOOKUP(Table2[[#This Row],[tee time3]],'Summer FD - groups'!$A$3:$F$20,5,FALSE),"")</f>
        <v>6.2499999999999778E-3</v>
      </c>
      <c r="U104" s="69">
        <f>IF(Table2[[#This Row],[avg gap]]&lt;&gt;"",IFERROR((MAX(starting_interval,IF(Table2[[#This Row],[gap3]]="NA",Table2[[#This Row],[avg gap]],Table2[[#This Row],[gap3]]))-starting_interval)*Table2[[#This Row],[followers3]]/Table2[[#This Row],[group size3]],""),"")</f>
        <v>0</v>
      </c>
      <c r="V104" s="32">
        <f>_xlfn.IFNA(VLOOKUP(Table2[[#This Row],[Name]],'6-6-6 - players'!$A$2:$B$69,2,FALSE),"")</f>
        <v>0.40277777777777773</v>
      </c>
      <c r="W104" s="59">
        <f>IF(Table2[[#This Row],[tee time4]]&lt;&gt;"",COUNTIF('6-6-6 - players'!$B$2:$B$69,"="&amp;Table2[[#This Row],[tee time4]]),"")</f>
        <v>4</v>
      </c>
      <c r="X104" s="59">
        <f>_xlfn.IFNA(VLOOKUP(Table2[[#This Row],[tee time4]],'6-6-6 - groups'!$A$3:$F$20,6,FALSE),"")</f>
        <v>28</v>
      </c>
      <c r="Y104" s="4">
        <f>_xlfn.IFNA(VLOOKUP(Table2[[#This Row],[tee time4]],'6-6-6 - groups'!$A$3:$F$20,4,FALSE),"")</f>
        <v>0.17083333333333345</v>
      </c>
      <c r="Z104" s="13">
        <f>_xlfn.IFNA(VLOOKUP(Table2[[#This Row],[tee time4]],'6-6-6 - groups'!$A$3:$F$20,5,FALSE),"")</f>
        <v>6.2500000000000888E-3</v>
      </c>
      <c r="AA104" s="69">
        <f>IF(Table2[[#This Row],[avg gap]]&lt;&gt;"",IFERROR((MAX(starting_interval,IF(Table2[[#This Row],[gap4]]="NA",Table2[[#This Row],[avg gap]],Table2[[#This Row],[gap4]]))-starting_interval)*Table2[[#This Row],[followers4]]/Table2[[#This Row],[group size4]],""),"")</f>
        <v>0</v>
      </c>
      <c r="AB104" s="32">
        <f>_xlfn.IFNA(VLOOKUP(Table2[[#This Row],[Name]],'Fall FD - players'!$A$2:$B$65,2,FALSE),"")</f>
        <v>0.39999999999999997</v>
      </c>
      <c r="AC104" s="59">
        <f>IF(Table2[[#This Row],[tee time5]]&lt;&gt;"",COUNTIF('Fall FD - players'!$B$2:$B$65,"="&amp;Table2[[#This Row],[tee time5]]),"")</f>
        <v>3</v>
      </c>
      <c r="AD104" s="59">
        <f>_xlfn.IFNA(VLOOKUP(Table2[[#This Row],[tee time5]],'Fall FD - groups'!$A$3:$F$20,6,FALSE),"")</f>
        <v>32</v>
      </c>
      <c r="AE104" s="4">
        <f>_xlfn.IFNA(VLOOKUP(Table2[[#This Row],[tee time5]],'Fall FD - groups'!$A$3:$F$20,4,FALSE),"")</f>
        <v>0.18125000000000002</v>
      </c>
      <c r="AF104" s="13">
        <f>IFERROR(MIN(_xlfn.IFNA(VLOOKUP(Table2[[#This Row],[tee time5]],'Fall FD - groups'!$A$3:$F$20,5,FALSE),""),starting_interval + Table2[[#This Row],[round5]] - standard_round_time),"")</f>
        <v>4.8611111111112049E-3</v>
      </c>
      <c r="AG104" s="69">
        <f>IF(AND(Table2[[#This Row],[gap5]]="NA",Table2[[#This Row],[round5]]&lt;4/24),0,IFERROR((MAX(starting_interval,IF(Table2[[#This Row],[gap5]]="NA",Table2[[#This Row],[avg gap]],Table2[[#This Row],[gap5]]))-starting_interval)*Table2[[#This Row],[followers5]]/Table2[[#This Row],[group size5]],""))</f>
        <v>0</v>
      </c>
      <c r="AH104" s="32">
        <f>_xlfn.IFNA(VLOOKUP(Table2[[#This Row],[Name]],'Stableford - players'!$A$2:$B$65,2,FALSE),"")</f>
        <v>0.43055555555555558</v>
      </c>
      <c r="AI104" s="59">
        <f>IF(Table2[[#This Row],[tee time6]]&lt;&gt;"",COUNTIF('Stableford - players'!$B$2:$B$65,"="&amp;Table2[[#This Row],[tee time6]]),"")</f>
        <v>4</v>
      </c>
      <c r="AJ104" s="59">
        <f>_xlfn.IFNA(VLOOKUP(Table2[[#This Row],[tee time6]],'Stableford - groups'!$A$3:$F$20,6,FALSE),"")</f>
        <v>4</v>
      </c>
      <c r="AK104" s="11">
        <f>_xlfn.IFNA(VLOOKUP(Table2[[#This Row],[tee time6]],'Stableford - groups'!$A$3:$F$20,4,FALSE),"")</f>
        <v>0.17083333333333328</v>
      </c>
      <c r="AL104" s="13">
        <f>_xlfn.IFNA(VLOOKUP(Table2[[#This Row],[tee time6]],'Stableford - groups'!$A$3:$F$20,5,FALSE),"")</f>
        <v>5.5555555555555358E-3</v>
      </c>
      <c r="AM104" s="68">
        <f>IF(AND(Table2[[#This Row],[gap6]]="NA",Table2[[#This Row],[round6]]&lt;4/24),0,IFERROR((MAX(starting_interval,IF(Table2[[#This Row],[gap6]]="NA",Table2[[#This Row],[avg gap]],Table2[[#This Row],[gap6]]))-starting_interval)*Table2[[#This Row],[followers6]]/Table2[[#This Row],[group size6]],""))</f>
        <v>0</v>
      </c>
      <c r="AN104" s="32">
        <f>_xlfn.IFNA(VLOOKUP(Table2[[#This Row],[Name]],'Turkey Shoot - players'!$A$2:$B$65,2,FALSE),"")</f>
        <v>0.4375</v>
      </c>
      <c r="AO104" s="59">
        <f>IF(Table2[[#This Row],[tee time7]]&lt;&gt;"",COUNTIF('Turkey Shoot - players'!$B$2:$B$65,"="&amp;Table2[[#This Row],[tee time7]]),"")</f>
        <v>4</v>
      </c>
      <c r="AP104" s="59">
        <f>_xlfn.IFNA(VLOOKUP(Table2[[#This Row],[tee time7]],'Stableford - groups'!$A$3:$F$20,6,FALSE),"")</f>
        <v>0</v>
      </c>
      <c r="AQ104" s="11">
        <f>_xlfn.IFNA(VLOOKUP(Table2[[#This Row],[tee time7]],'Turkey Shoot - groups'!$A$3:$F$20,4,FALSE),"")</f>
        <v>0.18263888888888891</v>
      </c>
      <c r="AR104" s="13">
        <f>_xlfn.IFNA(VLOOKUP(Table2[[#This Row],[tee time7]],'Turkey Shoot - groups'!$A$3:$F$20,5,FALSE),"")</f>
        <v>9.7222222222222224E-3</v>
      </c>
      <c r="AS104" s="68">
        <f>IF(AND(Table2[[#This Row],[gap7]]="NA",Table2[[#This Row],[round7]]&lt;4/24),0,IFERROR((MAX(starting_interval,IF(Table2[[#This Row],[gap7]]="NA",Table2[[#This Row],[avg gap]],Table2[[#This Row],[gap7]]))-starting_interval)*Table2[[#This Row],[followers7]]/Table2[[#This Row],[group size7]],""))</f>
        <v>0</v>
      </c>
      <c r="AT104" s="72">
        <f>COUNT(Table2[[#This Row],[Tee time1]],Table2[[#This Row],[tee time2]],Table2[[#This Row],[tee time3]],Table2[[#This Row],[tee time4]],Table2[[#This Row],[tee time5]],Table2[[#This Row],[tee time6]],Table2[[#This Row],[tee time7]])</f>
        <v>7</v>
      </c>
      <c r="AU104" s="4">
        <f>IFERROR(AVERAGE(Table2[[#This Row],[Tee time1]],Table2[[#This Row],[tee time2]],Table2[[#This Row],[tee time3]],Table2[[#This Row],[tee time4]],Table2[[#This Row],[tee time5]],Table2[[#This Row],[tee time6]],Table2[[#This Row],[tee time7]]),"")</f>
        <v>0.41230158730158728</v>
      </c>
      <c r="AV104" s="11">
        <f>IFERROR(MEDIAN(Table2[[#This Row],[round1]],Table2[[#This Row],[Round2]],Table2[[#This Row],[round3]],Table2[[#This Row],[round4]],Table2[[#This Row],[round5]],Table2[[#This Row],[round6]],Table2[[#This Row],[round7]]),"")</f>
        <v>0.18263888888888891</v>
      </c>
      <c r="AW104" s="11">
        <f>IFERROR(AVERAGE(Table2[[#This Row],[gap1]],Table2[[#This Row],[gap2]],Table2[[#This Row],[gap3]],Table2[[#This Row],[gap4]],Table2[[#This Row],[gap5]],Table2[[#This Row],[gap6]],Table2[[#This Row],[gap7]]),"")</f>
        <v>6.6468253968254305E-3</v>
      </c>
      <c r="AX104" s="9">
        <f>IFERROR((Table2[[#This Row],[avg gap]]-starting_interval)*24*60*Table2[[#This Row],[Count]],"NA")</f>
        <v>-2.9999999999996572</v>
      </c>
      <c r="AY10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2.7777777777777796E-3</v>
      </c>
      <c r="AZ104" s="2"/>
    </row>
    <row r="105" spans="1:52" x14ac:dyDescent="0.3">
      <c r="A105" s="10" t="s">
        <v>151</v>
      </c>
      <c r="B105" s="1" t="s">
        <v>392</v>
      </c>
      <c r="C105" s="19">
        <v>19.7</v>
      </c>
      <c r="D105" s="32">
        <f>_xlfn.IFNA(VLOOKUP(Table2[[#This Row],[Name]],'Classic day 1 - players'!$A$2:$B$64,2,FALSE),"")</f>
        <v>0.43333333333333335</v>
      </c>
      <c r="E105" s="33">
        <f>IF(Table2[[#This Row],[Tee time1]]&lt;&gt;"",COUNTIF('Classic day 1 - players'!$B$2:$B$64,"="&amp;Table2[[#This Row],[Tee time1]]),"")</f>
        <v>4</v>
      </c>
      <c r="F105" s="33">
        <f>_xlfn.IFNA(VLOOKUP(Table2[[#This Row],[Tee time1]],'Classic day 1 - groups'!$A$3:$F$20,6,FALSE),"")</f>
        <v>4</v>
      </c>
      <c r="G105" s="11">
        <f>_xlfn.IFNA(VLOOKUP(Table2[[#This Row],[Tee time1]],'Classic day 1 - groups'!$A$3:$F$20,4,FALSE),"")</f>
        <v>0.19652777777777775</v>
      </c>
      <c r="H105" s="12">
        <f>_xlfn.IFNA(VLOOKUP(Table2[[#This Row],[Tee time1]],'Classic day 1 - groups'!$A$3:$F$20,5,FALSE),"")</f>
        <v>7.6388888888888618E-3</v>
      </c>
      <c r="I105" s="69">
        <f>IFERROR((MAX(starting_interval,IF(Table2[[#This Row],[gap1]]="NA",Table2[[#This Row],[avg gap]],Table2[[#This Row],[gap1]]))-starting_interval)*Table2[[#This Row],[followers1]]/Table2[[#This Row],[group size]],"")</f>
        <v>6.9444444444441769E-4</v>
      </c>
      <c r="J105" s="32" t="str">
        <f>_xlfn.IFNA(VLOOKUP(Table2[[#This Row],[Name]],'Classic day 2 - players'!$A$2:$B$64,2,FALSE),"")</f>
        <v/>
      </c>
      <c r="K105" s="33" t="str">
        <f>IF(Table2[[#This Row],[tee time2]]&lt;&gt;"",COUNTIF('Classic day 2 - players'!$B$2:$B$64,"="&amp;Table2[[#This Row],[tee time2]]),"")</f>
        <v/>
      </c>
      <c r="L105" s="33" t="str">
        <f>_xlfn.IFNA(VLOOKUP(Table2[[#This Row],[tee time2]],'Classic day 2 - groups'!$A$3:$F$20,6,FALSE),"")</f>
        <v/>
      </c>
      <c r="M105" s="4" t="str">
        <f>_xlfn.IFNA(VLOOKUP(Table2[[#This Row],[tee time2]],'Classic day 2 - groups'!$A$3:$F$20,4,FALSE),"")</f>
        <v/>
      </c>
      <c r="N105" s="65" t="str">
        <f>_xlfn.IFNA(VLOOKUP(Table2[[#This Row],[tee time2]],'Classic day 2 - groups'!$A$3:$F$20,5,FALSE),"")</f>
        <v/>
      </c>
      <c r="O105" s="69" t="str">
        <f>IFERROR((MAX(starting_interval,IF(Table2[[#This Row],[gap2]]="NA",Table2[[#This Row],[avg gap]],Table2[[#This Row],[gap2]]))-starting_interval)*Table2[[#This Row],[followers2]]/Table2[[#This Row],[group size2]],"")</f>
        <v/>
      </c>
      <c r="P105" s="32" t="str">
        <f>_xlfn.IFNA(VLOOKUP(Table2[[#This Row],[Name]],'Summer FD - players'!$A$2:$B$65,2,FALSE),"")</f>
        <v/>
      </c>
      <c r="Q105" s="59" t="str">
        <f>IF(Table2[[#This Row],[tee time3]]&lt;&gt;"",COUNTIF('Summer FD - players'!$B$2:$B$65,"="&amp;Table2[[#This Row],[tee time3]]),"")</f>
        <v/>
      </c>
      <c r="R105" s="59" t="str">
        <f>_xlfn.IFNA(VLOOKUP(Table2[[#This Row],[tee time3]],'Summer FD - groups'!$A$3:$F$20,6,FALSE),"")</f>
        <v/>
      </c>
      <c r="S105" s="4" t="str">
        <f>_xlfn.IFNA(VLOOKUP(Table2[[#This Row],[tee time3]],'Summer FD - groups'!$A$3:$F$20,4,FALSE),"")</f>
        <v/>
      </c>
      <c r="T105" s="13" t="str">
        <f>_xlfn.IFNA(VLOOKUP(Table2[[#This Row],[tee time3]],'Summer FD - groups'!$A$3:$F$20,5,FALSE),"")</f>
        <v/>
      </c>
      <c r="U105" s="69" t="str">
        <f>IF(Table2[[#This Row],[avg gap]]&lt;&gt;"",IFERROR((MAX(starting_interval,IF(Table2[[#This Row],[gap3]]="NA",Table2[[#This Row],[avg gap]],Table2[[#This Row],[gap3]]))-starting_interval)*Table2[[#This Row],[followers3]]/Table2[[#This Row],[group size3]],""),"")</f>
        <v/>
      </c>
      <c r="V105" s="32" t="str">
        <f>_xlfn.IFNA(VLOOKUP(Table2[[#This Row],[Name]],'6-6-6 - players'!$A$2:$B$69,2,FALSE),"")</f>
        <v/>
      </c>
      <c r="W105" s="59" t="str">
        <f>IF(Table2[[#This Row],[tee time4]]&lt;&gt;"",COUNTIF('6-6-6 - players'!$B$2:$B$69,"="&amp;Table2[[#This Row],[tee time4]]),"")</f>
        <v/>
      </c>
      <c r="X105" s="59" t="str">
        <f>_xlfn.IFNA(VLOOKUP(Table2[[#This Row],[tee time4]],'6-6-6 - groups'!$A$3:$F$20,6,FALSE),"")</f>
        <v/>
      </c>
      <c r="Y105" s="4" t="str">
        <f>_xlfn.IFNA(VLOOKUP(Table2[[#This Row],[tee time4]],'6-6-6 - groups'!$A$3:$F$20,4,FALSE),"")</f>
        <v/>
      </c>
      <c r="Z105" s="13" t="str">
        <f>_xlfn.IFNA(VLOOKUP(Table2[[#This Row],[tee time4]],'6-6-6 - groups'!$A$3:$F$20,5,FALSE),"")</f>
        <v/>
      </c>
      <c r="AA105" s="69" t="str">
        <f>IF(Table2[[#This Row],[avg gap]]&lt;&gt;"",IFERROR((MAX(starting_interval,IF(Table2[[#This Row],[gap4]]="NA",Table2[[#This Row],[avg gap]],Table2[[#This Row],[gap4]]))-starting_interval)*Table2[[#This Row],[followers4]]/Table2[[#This Row],[group size4]],""),"")</f>
        <v/>
      </c>
      <c r="AB105" s="32" t="str">
        <f>_xlfn.IFNA(VLOOKUP(Table2[[#This Row],[Name]],'Fall FD - players'!$A$2:$B$65,2,FALSE),"")</f>
        <v/>
      </c>
      <c r="AC105" s="59" t="str">
        <f>IF(Table2[[#This Row],[tee time5]]&lt;&gt;"",COUNTIF('Fall FD - players'!$B$2:$B$65,"="&amp;Table2[[#This Row],[tee time5]]),"")</f>
        <v/>
      </c>
      <c r="AD105" s="59" t="str">
        <f>_xlfn.IFNA(VLOOKUP(Table2[[#This Row],[tee time5]],'Fall FD - groups'!$A$3:$F$20,6,FALSE),"")</f>
        <v/>
      </c>
      <c r="AE105" s="4" t="str">
        <f>_xlfn.IFNA(VLOOKUP(Table2[[#This Row],[tee time5]],'Fall FD - groups'!$A$3:$F$20,4,FALSE),"")</f>
        <v/>
      </c>
      <c r="AF105" s="13" t="str">
        <f>IFERROR(MIN(_xlfn.IFNA(VLOOKUP(Table2[[#This Row],[tee time5]],'Fall FD - groups'!$A$3:$F$20,5,FALSE),""),starting_interval + Table2[[#This Row],[round5]] - standard_round_time),"")</f>
        <v/>
      </c>
      <c r="AG105" s="69" t="str">
        <f>IF(AND(Table2[[#This Row],[gap5]]="NA",Table2[[#This Row],[round5]]&lt;4/24),0,IFERROR((MAX(starting_interval,IF(Table2[[#This Row],[gap5]]="NA",Table2[[#This Row],[avg gap]],Table2[[#This Row],[gap5]]))-starting_interval)*Table2[[#This Row],[followers5]]/Table2[[#This Row],[group size5]],""))</f>
        <v/>
      </c>
      <c r="AH105" s="32" t="str">
        <f>_xlfn.IFNA(VLOOKUP(Table2[[#This Row],[Name]],'Stableford - players'!$A$2:$B$65,2,FALSE),"")</f>
        <v/>
      </c>
      <c r="AI105" s="59" t="str">
        <f>IF(Table2[[#This Row],[tee time6]]&lt;&gt;"",COUNTIF('Stableford - players'!$B$2:$B$65,"="&amp;Table2[[#This Row],[tee time6]]),"")</f>
        <v/>
      </c>
      <c r="AJ105" s="59" t="str">
        <f>_xlfn.IFNA(VLOOKUP(Table2[[#This Row],[tee time6]],'Stableford - groups'!$A$3:$F$20,6,FALSE),"")</f>
        <v/>
      </c>
      <c r="AK105" s="11" t="str">
        <f>_xlfn.IFNA(VLOOKUP(Table2[[#This Row],[tee time6]],'Stableford - groups'!$A$3:$F$20,4,FALSE),"")</f>
        <v/>
      </c>
      <c r="AL105" s="13" t="str">
        <f>_xlfn.IFNA(VLOOKUP(Table2[[#This Row],[tee time6]],'Stableford - groups'!$A$3:$F$20,5,FALSE),"")</f>
        <v/>
      </c>
      <c r="AM105" s="68" t="str">
        <f>IF(AND(Table2[[#This Row],[gap6]]="NA",Table2[[#This Row],[round6]]&lt;4/24),0,IFERROR((MAX(starting_interval,IF(Table2[[#This Row],[gap6]]="NA",Table2[[#This Row],[avg gap]],Table2[[#This Row],[gap6]]))-starting_interval)*Table2[[#This Row],[followers6]]/Table2[[#This Row],[group size6]],""))</f>
        <v/>
      </c>
      <c r="AN105" s="32" t="str">
        <f>_xlfn.IFNA(VLOOKUP(Table2[[#This Row],[Name]],'Turkey Shoot - players'!$A$2:$B$65,2,FALSE),"")</f>
        <v/>
      </c>
      <c r="AO105" s="59" t="str">
        <f>IF(Table2[[#This Row],[tee time7]]&lt;&gt;"",COUNTIF('Turkey Shoot - players'!$B$2:$B$65,"="&amp;Table2[[#This Row],[tee time7]]),"")</f>
        <v/>
      </c>
      <c r="AP105" s="59" t="str">
        <f>_xlfn.IFNA(VLOOKUP(Table2[[#This Row],[tee time7]],'Stableford - groups'!$A$3:$F$20,6,FALSE),"")</f>
        <v/>
      </c>
      <c r="AQ105" s="11" t="str">
        <f>_xlfn.IFNA(VLOOKUP(Table2[[#This Row],[tee time7]],'Turkey Shoot - groups'!$A$3:$F$20,4,FALSE),"")</f>
        <v/>
      </c>
      <c r="AR105" s="13" t="str">
        <f>_xlfn.IFNA(VLOOKUP(Table2[[#This Row],[tee time7]],'Turkey Shoot - groups'!$A$3:$F$20,5,FALSE),"")</f>
        <v/>
      </c>
      <c r="AS105" s="68" t="str">
        <f>IF(AND(Table2[[#This Row],[gap7]]="NA",Table2[[#This Row],[round7]]&lt;4/24),0,IFERROR((MAX(starting_interval,IF(Table2[[#This Row],[gap7]]="NA",Table2[[#This Row],[avg gap]],Table2[[#This Row],[gap7]]))-starting_interval)*Table2[[#This Row],[followers7]]/Table2[[#This Row],[group size7]],""))</f>
        <v/>
      </c>
      <c r="AT105" s="72">
        <f>COUNT(Table2[[#This Row],[Tee time1]],Table2[[#This Row],[tee time2]],Table2[[#This Row],[tee time3]],Table2[[#This Row],[tee time4]],Table2[[#This Row],[tee time5]],Table2[[#This Row],[tee time6]],Table2[[#This Row],[tee time7]])</f>
        <v>1</v>
      </c>
      <c r="AU105" s="4">
        <f>IFERROR(AVERAGE(Table2[[#This Row],[Tee time1]],Table2[[#This Row],[tee time2]],Table2[[#This Row],[tee time3]],Table2[[#This Row],[tee time4]],Table2[[#This Row],[tee time5]],Table2[[#This Row],[tee time6]],Table2[[#This Row],[tee time7]]),"")</f>
        <v>0.43333333333333335</v>
      </c>
      <c r="AV105" s="11">
        <f>IFERROR(MEDIAN(Table2[[#This Row],[round1]],Table2[[#This Row],[Round2]],Table2[[#This Row],[round3]],Table2[[#This Row],[round4]],Table2[[#This Row],[round5]],Table2[[#This Row],[round6]],Table2[[#This Row],[round7]]),"")</f>
        <v>0.19652777777777775</v>
      </c>
      <c r="AW105" s="11">
        <f>IFERROR(AVERAGE(Table2[[#This Row],[gap1]],Table2[[#This Row],[gap2]],Table2[[#This Row],[gap3]],Table2[[#This Row],[gap4]],Table2[[#This Row],[gap5]],Table2[[#This Row],[gap6]],Table2[[#This Row],[gap7]]),"")</f>
        <v>7.6388888888888618E-3</v>
      </c>
      <c r="AX105" s="9">
        <f>IFERROR((Table2[[#This Row],[avg gap]]-starting_interval)*24*60*Table2[[#This Row],[Count]],"NA")</f>
        <v>0.99999999999996148</v>
      </c>
      <c r="AY10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6.9444444444441769E-4</v>
      </c>
      <c r="AZ105" s="2"/>
    </row>
    <row r="106" spans="1:52" x14ac:dyDescent="0.3">
      <c r="A106" s="10" t="s">
        <v>75</v>
      </c>
      <c r="B106" s="1" t="s">
        <v>314</v>
      </c>
      <c r="C106" s="19">
        <v>12.7</v>
      </c>
      <c r="D106" s="32">
        <f>_xlfn.IFNA(VLOOKUP(Table2[[#This Row],[Name]],'Classic day 1 - players'!$A$2:$B$64,2,FALSE),"")</f>
        <v>0.43333333333333335</v>
      </c>
      <c r="E106" s="33">
        <f>IF(Table2[[#This Row],[Tee time1]]&lt;&gt;"",COUNTIF('Classic day 1 - players'!$B$2:$B$64,"="&amp;Table2[[#This Row],[Tee time1]]),"")</f>
        <v>4</v>
      </c>
      <c r="F106" s="33">
        <f>_xlfn.IFNA(VLOOKUP(Table2[[#This Row],[Tee time1]],'Classic day 1 - groups'!$A$3:$F$20,6,FALSE),"")</f>
        <v>4</v>
      </c>
      <c r="G106" s="11">
        <f>_xlfn.IFNA(VLOOKUP(Table2[[#This Row],[Tee time1]],'Classic day 1 - groups'!$A$3:$F$20,4,FALSE),"")</f>
        <v>0.19652777777777775</v>
      </c>
      <c r="H106" s="12">
        <f>_xlfn.IFNA(VLOOKUP(Table2[[#This Row],[Tee time1]],'Classic day 1 - groups'!$A$3:$F$20,5,FALSE),"")</f>
        <v>7.6388888888888618E-3</v>
      </c>
      <c r="I106" s="69">
        <f>IFERROR((MAX(starting_interval,IF(Table2[[#This Row],[gap1]]="NA",Table2[[#This Row],[avg gap]],Table2[[#This Row],[gap1]]))-starting_interval)*Table2[[#This Row],[followers1]]/Table2[[#This Row],[group size]],"")</f>
        <v>6.9444444444441769E-4</v>
      </c>
      <c r="J106" s="32">
        <f>_xlfn.IFNA(VLOOKUP(Table2[[#This Row],[Name]],'Classic day 2 - players'!$A$2:$B$64,2,FALSE),"")</f>
        <v>0.37083333333333335</v>
      </c>
      <c r="K106" s="33">
        <f>IF(Table2[[#This Row],[tee time2]]&lt;&gt;"",COUNTIF('Classic day 2 - players'!$B$2:$B$64,"="&amp;Table2[[#This Row],[tee time2]]),"")</f>
        <v>4</v>
      </c>
      <c r="L106" s="33">
        <f>_xlfn.IFNA(VLOOKUP(Table2[[#This Row],[tee time2]],'Classic day 2 - groups'!$A$3:$F$20,6,FALSE),"")</f>
        <v>28</v>
      </c>
      <c r="M106" s="4">
        <f>_xlfn.IFNA(VLOOKUP(Table2[[#This Row],[tee time2]],'Classic day 2 - groups'!$A$3:$F$20,4,FALSE),"")</f>
        <v>0.18819444444444444</v>
      </c>
      <c r="N106" s="65">
        <f>_xlfn.IFNA(VLOOKUP(Table2[[#This Row],[tee time2]],'Classic day 2 - groups'!$A$3:$F$20,5,FALSE),"")</f>
        <v>6.2499999999999995E-3</v>
      </c>
      <c r="O106" s="69">
        <f>IFERROR((MAX(starting_interval,IF(Table2[[#This Row],[gap2]]="NA",Table2[[#This Row],[avg gap]],Table2[[#This Row],[gap2]]))-starting_interval)*Table2[[#This Row],[followers2]]/Table2[[#This Row],[group size2]],"")</f>
        <v>0</v>
      </c>
      <c r="P106" s="32">
        <f>_xlfn.IFNA(VLOOKUP(Table2[[#This Row],[Name]],'Summer FD - players'!$A$2:$B$65,2,FALSE),"")</f>
        <v>0.37777777777777777</v>
      </c>
      <c r="Q106" s="59">
        <f>IF(Table2[[#This Row],[tee time3]]&lt;&gt;"",COUNTIF('Summer FD - players'!$B$2:$B$65,"="&amp;Table2[[#This Row],[tee time3]]),"")</f>
        <v>4</v>
      </c>
      <c r="R106" s="59">
        <f>_xlfn.IFNA(VLOOKUP(Table2[[#This Row],[tee time3]],'Summer FD - groups'!$A$3:$F$20,6,FALSE),"")</f>
        <v>36</v>
      </c>
      <c r="S106" s="4">
        <f>_xlfn.IFNA(VLOOKUP(Table2[[#This Row],[tee time3]],'Summer FD - groups'!$A$3:$F$20,4,FALSE),"")</f>
        <v>0.18819444444444444</v>
      </c>
      <c r="T106" s="13">
        <f>_xlfn.IFNA(VLOOKUP(Table2[[#This Row],[tee time3]],'Summer FD - groups'!$A$3:$F$20,5,FALSE),"")</f>
        <v>5.5555555555555358E-3</v>
      </c>
      <c r="U106" s="69">
        <f>IF(Table2[[#This Row],[avg gap]]&lt;&gt;"",IFERROR((MAX(starting_interval,IF(Table2[[#This Row],[gap3]]="NA",Table2[[#This Row],[avg gap]],Table2[[#This Row],[gap3]]))-starting_interval)*Table2[[#This Row],[followers3]]/Table2[[#This Row],[group size3]],""),"")</f>
        <v>0</v>
      </c>
      <c r="V106" s="32">
        <f>_xlfn.IFNA(VLOOKUP(Table2[[#This Row],[Name]],'6-6-6 - players'!$A$2:$B$69,2,FALSE),"")</f>
        <v>0.39583333333333331</v>
      </c>
      <c r="W106" s="59">
        <f>IF(Table2[[#This Row],[tee time4]]&lt;&gt;"",COUNTIF('6-6-6 - players'!$B$2:$B$69,"="&amp;Table2[[#This Row],[tee time4]]),"")</f>
        <v>4</v>
      </c>
      <c r="X106" s="59">
        <f>_xlfn.IFNA(VLOOKUP(Table2[[#This Row],[tee time4]],'6-6-6 - groups'!$A$3:$F$20,6,FALSE),"")</f>
        <v>32</v>
      </c>
      <c r="Y106" s="4">
        <f>_xlfn.IFNA(VLOOKUP(Table2[[#This Row],[tee time4]],'6-6-6 - groups'!$A$3:$F$20,4,FALSE),"")</f>
        <v>0.17152777777777778</v>
      </c>
      <c r="Z106" s="13">
        <f>_xlfn.IFNA(VLOOKUP(Table2[[#This Row],[tee time4]],'6-6-6 - groups'!$A$3:$F$20,5,FALSE),"")</f>
        <v>4.8611111111110938E-3</v>
      </c>
      <c r="AA106" s="69">
        <f>IF(Table2[[#This Row],[avg gap]]&lt;&gt;"",IFERROR((MAX(starting_interval,IF(Table2[[#This Row],[gap4]]="NA",Table2[[#This Row],[avg gap]],Table2[[#This Row],[gap4]]))-starting_interval)*Table2[[#This Row],[followers4]]/Table2[[#This Row],[group size4]],""),"")</f>
        <v>0</v>
      </c>
      <c r="AB106" s="32" t="str">
        <f>_xlfn.IFNA(VLOOKUP(Table2[[#This Row],[Name]],'Fall FD - players'!$A$2:$B$65,2,FALSE),"")</f>
        <v/>
      </c>
      <c r="AC106" s="59" t="str">
        <f>IF(Table2[[#This Row],[tee time5]]&lt;&gt;"",COUNTIF('Fall FD - players'!$B$2:$B$65,"="&amp;Table2[[#This Row],[tee time5]]),"")</f>
        <v/>
      </c>
      <c r="AD106" s="59" t="str">
        <f>_xlfn.IFNA(VLOOKUP(Table2[[#This Row],[tee time5]],'Fall FD - groups'!$A$3:$F$20,6,FALSE),"")</f>
        <v/>
      </c>
      <c r="AE106" s="4" t="str">
        <f>_xlfn.IFNA(VLOOKUP(Table2[[#This Row],[tee time5]],'Fall FD - groups'!$A$3:$F$20,4,FALSE),"")</f>
        <v/>
      </c>
      <c r="AF106" s="13" t="str">
        <f>IFERROR(MIN(_xlfn.IFNA(VLOOKUP(Table2[[#This Row],[tee time5]],'Fall FD - groups'!$A$3:$F$20,5,FALSE),""),starting_interval + Table2[[#This Row],[round5]] - standard_round_time),"")</f>
        <v/>
      </c>
      <c r="AG106" s="69" t="str">
        <f>IF(AND(Table2[[#This Row],[gap5]]="NA",Table2[[#This Row],[round5]]&lt;4/24),0,IFERROR((MAX(starting_interval,IF(Table2[[#This Row],[gap5]]="NA",Table2[[#This Row],[avg gap]],Table2[[#This Row],[gap5]]))-starting_interval)*Table2[[#This Row],[followers5]]/Table2[[#This Row],[group size5]],""))</f>
        <v/>
      </c>
      <c r="AH106" s="32" t="str">
        <f>_xlfn.IFNA(VLOOKUP(Table2[[#This Row],[Name]],'Stableford - players'!$A$2:$B$65,2,FALSE),"")</f>
        <v/>
      </c>
      <c r="AI106" s="59" t="str">
        <f>IF(Table2[[#This Row],[tee time6]]&lt;&gt;"",COUNTIF('Stableford - players'!$B$2:$B$65,"="&amp;Table2[[#This Row],[tee time6]]),"")</f>
        <v/>
      </c>
      <c r="AJ106" s="59" t="str">
        <f>_xlfn.IFNA(VLOOKUP(Table2[[#This Row],[tee time6]],'Stableford - groups'!$A$3:$F$20,6,FALSE),"")</f>
        <v/>
      </c>
      <c r="AK106" s="11" t="str">
        <f>_xlfn.IFNA(VLOOKUP(Table2[[#This Row],[tee time6]],'Stableford - groups'!$A$3:$F$20,4,FALSE),"")</f>
        <v/>
      </c>
      <c r="AL106" s="13" t="str">
        <f>_xlfn.IFNA(VLOOKUP(Table2[[#This Row],[tee time6]],'Stableford - groups'!$A$3:$F$20,5,FALSE),"")</f>
        <v/>
      </c>
      <c r="AM106" s="68" t="str">
        <f>IF(AND(Table2[[#This Row],[gap6]]="NA",Table2[[#This Row],[round6]]&lt;4/24),0,IFERROR((MAX(starting_interval,IF(Table2[[#This Row],[gap6]]="NA",Table2[[#This Row],[avg gap]],Table2[[#This Row],[gap6]]))-starting_interval)*Table2[[#This Row],[followers6]]/Table2[[#This Row],[group size6]],""))</f>
        <v/>
      </c>
      <c r="AN106" s="32" t="str">
        <f>_xlfn.IFNA(VLOOKUP(Table2[[#This Row],[Name]],'Turkey Shoot - players'!$A$2:$B$65,2,FALSE),"")</f>
        <v/>
      </c>
      <c r="AO106" s="59" t="str">
        <f>IF(Table2[[#This Row],[tee time7]]&lt;&gt;"",COUNTIF('Turkey Shoot - players'!$B$2:$B$65,"="&amp;Table2[[#This Row],[tee time7]]),"")</f>
        <v/>
      </c>
      <c r="AP106" s="59" t="str">
        <f>_xlfn.IFNA(VLOOKUP(Table2[[#This Row],[tee time7]],'Stableford - groups'!$A$3:$F$20,6,FALSE),"")</f>
        <v/>
      </c>
      <c r="AQ106" s="11" t="str">
        <f>_xlfn.IFNA(VLOOKUP(Table2[[#This Row],[tee time7]],'Turkey Shoot - groups'!$A$3:$F$20,4,FALSE),"")</f>
        <v/>
      </c>
      <c r="AR106" s="13" t="str">
        <f>_xlfn.IFNA(VLOOKUP(Table2[[#This Row],[tee time7]],'Turkey Shoot - groups'!$A$3:$F$20,5,FALSE),"")</f>
        <v/>
      </c>
      <c r="AS106" s="68" t="str">
        <f>IF(AND(Table2[[#This Row],[gap7]]="NA",Table2[[#This Row],[round7]]&lt;4/24),0,IFERROR((MAX(starting_interval,IF(Table2[[#This Row],[gap7]]="NA",Table2[[#This Row],[avg gap]],Table2[[#This Row],[gap7]]))-starting_interval)*Table2[[#This Row],[followers7]]/Table2[[#This Row],[group size7]],""))</f>
        <v/>
      </c>
      <c r="AT106" s="72">
        <f>COUNT(Table2[[#This Row],[Tee time1]],Table2[[#This Row],[tee time2]],Table2[[#This Row],[tee time3]],Table2[[#This Row],[tee time4]],Table2[[#This Row],[tee time5]],Table2[[#This Row],[tee time6]],Table2[[#This Row],[tee time7]])</f>
        <v>4</v>
      </c>
      <c r="AU106" s="4">
        <f>IFERROR(AVERAGE(Table2[[#This Row],[Tee time1]],Table2[[#This Row],[tee time2]],Table2[[#This Row],[tee time3]],Table2[[#This Row],[tee time4]],Table2[[#This Row],[tee time5]],Table2[[#This Row],[tee time6]],Table2[[#This Row],[tee time7]]),"")</f>
        <v>0.39444444444444443</v>
      </c>
      <c r="AV106" s="11">
        <f>IFERROR(MEDIAN(Table2[[#This Row],[round1]],Table2[[#This Row],[Round2]],Table2[[#This Row],[round3]],Table2[[#This Row],[round4]],Table2[[#This Row],[round5]],Table2[[#This Row],[round6]],Table2[[#This Row],[round7]]),"")</f>
        <v>0.18819444444444444</v>
      </c>
      <c r="AW106" s="11">
        <f>IFERROR(AVERAGE(Table2[[#This Row],[gap1]],Table2[[#This Row],[gap2]],Table2[[#This Row],[gap3]],Table2[[#This Row],[gap4]],Table2[[#This Row],[gap5]],Table2[[#This Row],[gap6]],Table2[[#This Row],[gap7]]),"")</f>
        <v>6.0763888888888725E-3</v>
      </c>
      <c r="AX106" s="9">
        <f>IFERROR((Table2[[#This Row],[avg gap]]-starting_interval)*24*60*Table2[[#This Row],[Count]],"NA")</f>
        <v>-5.0000000000000924</v>
      </c>
      <c r="AY10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6.9444444444441769E-4</v>
      </c>
      <c r="AZ106" s="2"/>
    </row>
    <row r="107" spans="1:52" x14ac:dyDescent="0.3">
      <c r="A107" s="10" t="s">
        <v>493</v>
      </c>
      <c r="B107" s="28"/>
      <c r="C107" s="29">
        <v>18.2</v>
      </c>
      <c r="D107" s="63" t="str">
        <f>_xlfn.IFNA(VLOOKUP(Table2[[#This Row],[Name]],'Classic day 1 - players'!$A$2:$B$64,2,FALSE),"")</f>
        <v/>
      </c>
      <c r="E107" s="34" t="str">
        <f>IF(Table2[[#This Row],[Tee time1]]&lt;&gt;"",COUNTIF('Classic day 1 - players'!$B$2:$B$64,"="&amp;Table2[[#This Row],[Tee time1]]),"")</f>
        <v/>
      </c>
      <c r="F107" s="34" t="str">
        <f>_xlfn.IFNA(VLOOKUP(Table2[[#This Row],[Tee time1]],'Classic day 1 - groups'!$A$3:$F$20,6,FALSE),"")</f>
        <v/>
      </c>
      <c r="G107" s="30" t="str">
        <f>_xlfn.IFNA(VLOOKUP(Table2[[#This Row],[Tee time1]],'Classic day 1 - groups'!$A$3:$F$20,4,FALSE),"")</f>
        <v/>
      </c>
      <c r="H107" s="64" t="str">
        <f>_xlfn.IFNA(VLOOKUP(Table2[[#This Row],[Tee time1]],'Classic day 1 - groups'!$A$3:$F$20,5,FALSE),"")</f>
        <v/>
      </c>
      <c r="I107" s="69" t="str">
        <f>IFERROR((MAX(starting_interval,IF(Table2[[#This Row],[gap1]]="NA",Table2[[#This Row],[avg gap]],Table2[[#This Row],[gap1]]))-starting_interval)*Table2[[#This Row],[followers1]]/Table2[[#This Row],[group size]],"")</f>
        <v/>
      </c>
      <c r="J107" s="32" t="str">
        <f>_xlfn.IFNA(VLOOKUP(Table2[[#This Row],[Name]],'Classic day 2 - players'!$A$2:$B$64,2,FALSE),"")</f>
        <v/>
      </c>
      <c r="K107" s="33" t="str">
        <f>IF(Table2[[#This Row],[tee time2]]&lt;&gt;"",COUNTIF('Classic day 2 - players'!$B$2:$B$64,"="&amp;Table2[[#This Row],[tee time2]]),"")</f>
        <v/>
      </c>
      <c r="L107" s="33" t="str">
        <f>_xlfn.IFNA(VLOOKUP(Table2[[#This Row],[tee time2]],'Classic day 2 - groups'!$A$3:$F$20,6,FALSE),"")</f>
        <v/>
      </c>
      <c r="M107" s="4" t="str">
        <f>_xlfn.IFNA(VLOOKUP(Table2[[#This Row],[tee time2]],'Classic day 2 - groups'!$A$3:$F$20,4,FALSE),"")</f>
        <v/>
      </c>
      <c r="N107" s="65" t="str">
        <f>_xlfn.IFNA(VLOOKUP(Table2[[#This Row],[tee time2]],'Classic day 2 - groups'!$A$3:$F$20,5,FALSE),"")</f>
        <v/>
      </c>
      <c r="O107" s="69" t="str">
        <f>IFERROR((MAX(starting_interval,IF(Table2[[#This Row],[gap2]]="NA",Table2[[#This Row],[avg gap]],Table2[[#This Row],[gap2]]))-starting_interval)*Table2[[#This Row],[followers2]]/Table2[[#This Row],[group size2]],"")</f>
        <v/>
      </c>
      <c r="P107" s="66" t="str">
        <f>_xlfn.IFNA(VLOOKUP(Table2[[#This Row],[Name]],'Summer FD - players'!$A$2:$B$65,2,FALSE),"")</f>
        <v/>
      </c>
      <c r="Q107" s="60" t="str">
        <f>IF(Table2[[#This Row],[tee time3]]&lt;&gt;"",COUNTIF('Summer FD - players'!$B$2:$B$65,"="&amp;Table2[[#This Row],[tee time3]]),"")</f>
        <v/>
      </c>
      <c r="R107" s="60" t="str">
        <f>_xlfn.IFNA(VLOOKUP(Table2[[#This Row],[tee time3]],'Summer FD - groups'!$A$3:$F$20,6,FALSE),"")</f>
        <v/>
      </c>
      <c r="S107" s="3" t="str">
        <f>_xlfn.IFNA(VLOOKUP(Table2[[#This Row],[tee time3]],'Summer FD - groups'!$A$3:$F$20,4,FALSE),"")</f>
        <v/>
      </c>
      <c r="T107" s="65" t="str">
        <f>_xlfn.IFNA(VLOOKUP(Table2[[#This Row],[tee time3]],'Summer FD - groups'!$A$3:$F$20,5,FALSE),"")</f>
        <v/>
      </c>
      <c r="U107" s="69" t="str">
        <f>IF(Table2[[#This Row],[avg gap]]&lt;&gt;"",IFERROR((MAX(starting_interval,IF(Table2[[#This Row],[gap3]]="NA",Table2[[#This Row],[avg gap]],Table2[[#This Row],[gap3]]))-starting_interval)*Table2[[#This Row],[followers3]]/Table2[[#This Row],[group size3]],""),"")</f>
        <v/>
      </c>
      <c r="V107" s="32" t="str">
        <f>_xlfn.IFNA(VLOOKUP(Table2[[#This Row],[Name]],'6-6-6 - players'!$A$2:$B$69,2,FALSE),"")</f>
        <v/>
      </c>
      <c r="W107" s="60" t="str">
        <f>IF(Table2[[#This Row],[tee time4]]&lt;&gt;"",COUNTIF('6-6-6 - players'!$B$2:$B$69,"="&amp;Table2[[#This Row],[tee time4]]),"")</f>
        <v/>
      </c>
      <c r="X107" s="60" t="str">
        <f>_xlfn.IFNA(VLOOKUP(Table2[[#This Row],[tee time4]],'6-6-6 - groups'!$A$3:$F$20,6,FALSE),"")</f>
        <v/>
      </c>
      <c r="Y107" s="4" t="str">
        <f>_xlfn.IFNA(VLOOKUP(Table2[[#This Row],[tee time4]],'6-6-6 - groups'!$A$3:$F$20,4,FALSE),"")</f>
        <v/>
      </c>
      <c r="Z107" s="13" t="str">
        <f>_xlfn.IFNA(VLOOKUP(Table2[[#This Row],[tee time4]],'6-6-6 - groups'!$A$3:$F$20,5,FALSE),"")</f>
        <v/>
      </c>
      <c r="AA107" s="69" t="str">
        <f>IF(Table2[[#This Row],[avg gap]]&lt;&gt;"",IFERROR((MAX(starting_interval,IF(Table2[[#This Row],[gap4]]="NA",Table2[[#This Row],[avg gap]],Table2[[#This Row],[gap4]]))-starting_interval)*Table2[[#This Row],[followers4]]/Table2[[#This Row],[group size4]],""),"")</f>
        <v/>
      </c>
      <c r="AB107" s="32">
        <f>_xlfn.IFNA(VLOOKUP(Table2[[#This Row],[Name]],'Fall FD - players'!$A$2:$B$65,2,FALSE),"")</f>
        <v>0.42777777777777781</v>
      </c>
      <c r="AC107" s="60">
        <f>IF(Table2[[#This Row],[tee time5]]&lt;&gt;"",COUNTIF('Fall FD - players'!$B$2:$B$65,"="&amp;Table2[[#This Row],[tee time5]]),"")</f>
        <v>3</v>
      </c>
      <c r="AD107" s="60">
        <f>_xlfn.IFNA(VLOOKUP(Table2[[#This Row],[tee time5]],'Fall FD - groups'!$A$3:$F$20,6,FALSE),"")</f>
        <v>16</v>
      </c>
      <c r="AE107" s="4">
        <f>_xlfn.IFNA(VLOOKUP(Table2[[#This Row],[tee time5]],'Fall FD - groups'!$A$3:$F$20,4,FALSE),"")</f>
        <v>0.17986111111111114</v>
      </c>
      <c r="AF107" s="13">
        <f>IFERROR(MIN(_xlfn.IFNA(VLOOKUP(Table2[[#This Row],[tee time5]],'Fall FD - groups'!$A$3:$F$20,5,FALSE),""),starting_interval + Table2[[#This Row],[round5]] - standard_round_time),"")</f>
        <v>6.9444444444445308E-3</v>
      </c>
      <c r="AG107" s="69">
        <f>IF(AND(Table2[[#This Row],[gap5]]="NA",Table2[[#This Row],[round5]]&lt;4/24),0,IFERROR((MAX(starting_interval,IF(Table2[[#This Row],[gap5]]="NA",Table2[[#This Row],[avg gap]],Table2[[#This Row],[gap5]]))-starting_interval)*Table2[[#This Row],[followers5]]/Table2[[#This Row],[group size5]],""))</f>
        <v>4.6259292692714859E-16</v>
      </c>
      <c r="AH107" s="32" t="str">
        <f>_xlfn.IFNA(VLOOKUP(Table2[[#This Row],[Name]],'Stableford - players'!$A$2:$B$65,2,FALSE),"")</f>
        <v/>
      </c>
      <c r="AI107" s="60" t="str">
        <f>IF(Table2[[#This Row],[tee time6]]&lt;&gt;"",COUNTIF('Stableford - players'!$B$2:$B$65,"="&amp;Table2[[#This Row],[tee time6]]),"")</f>
        <v/>
      </c>
      <c r="AJ107" s="59" t="str">
        <f>_xlfn.IFNA(VLOOKUP(Table2[[#This Row],[tee time6]],'Stableford - groups'!$A$3:$F$20,6,FALSE),"")</f>
        <v/>
      </c>
      <c r="AK107" s="11" t="str">
        <f>_xlfn.IFNA(VLOOKUP(Table2[[#This Row],[tee time6]],'Stableford - groups'!$A$3:$F$20,4,FALSE),"")</f>
        <v/>
      </c>
      <c r="AL107" s="13" t="str">
        <f>_xlfn.IFNA(VLOOKUP(Table2[[#This Row],[tee time6]],'Stableford - groups'!$A$3:$F$20,5,FALSE),"")</f>
        <v/>
      </c>
      <c r="AM107" s="68" t="str">
        <f>IF(AND(Table2[[#This Row],[gap6]]="NA",Table2[[#This Row],[round6]]&lt;4/24),0,IFERROR((MAX(starting_interval,IF(Table2[[#This Row],[gap6]]="NA",Table2[[#This Row],[avg gap]],Table2[[#This Row],[gap6]]))-starting_interval)*Table2[[#This Row],[followers6]]/Table2[[#This Row],[group size6]],""))</f>
        <v/>
      </c>
      <c r="AN107" s="32" t="str">
        <f>_xlfn.IFNA(VLOOKUP(Table2[[#This Row],[Name]],'Turkey Shoot - players'!$A$2:$B$65,2,FALSE),"")</f>
        <v/>
      </c>
      <c r="AO107" s="59" t="str">
        <f>IF(Table2[[#This Row],[tee time7]]&lt;&gt;"",COUNTIF('Turkey Shoot - players'!$B$2:$B$65,"="&amp;Table2[[#This Row],[tee time7]]),"")</f>
        <v/>
      </c>
      <c r="AP107" s="59" t="str">
        <f>_xlfn.IFNA(VLOOKUP(Table2[[#This Row],[tee time7]],'Stableford - groups'!$A$3:$F$20,6,FALSE),"")</f>
        <v/>
      </c>
      <c r="AQ107" s="11" t="str">
        <f>_xlfn.IFNA(VLOOKUP(Table2[[#This Row],[tee time7]],'Turkey Shoot - groups'!$A$3:$F$20,4,FALSE),"")</f>
        <v/>
      </c>
      <c r="AR107" s="13" t="str">
        <f>_xlfn.IFNA(VLOOKUP(Table2[[#This Row],[tee time7]],'Turkey Shoot - groups'!$A$3:$F$20,5,FALSE),"")</f>
        <v/>
      </c>
      <c r="AS107" s="68" t="str">
        <f>IF(AND(Table2[[#This Row],[gap7]]="NA",Table2[[#This Row],[round7]]&lt;4/24),0,IFERROR((MAX(starting_interval,IF(Table2[[#This Row],[gap7]]="NA",Table2[[#This Row],[avg gap]],Table2[[#This Row],[gap7]]))-starting_interval)*Table2[[#This Row],[followers7]]/Table2[[#This Row],[group size7]],""))</f>
        <v/>
      </c>
      <c r="AT107" s="72">
        <f>COUNT(Table2[[#This Row],[Tee time1]],Table2[[#This Row],[tee time2]],Table2[[#This Row],[tee time3]],Table2[[#This Row],[tee time4]],Table2[[#This Row],[tee time5]],Table2[[#This Row],[tee time6]],Table2[[#This Row],[tee time7]])</f>
        <v>1</v>
      </c>
      <c r="AU107" s="4">
        <f>IFERROR(AVERAGE(Table2[[#This Row],[Tee time1]],Table2[[#This Row],[tee time2]],Table2[[#This Row],[tee time3]],Table2[[#This Row],[tee time4]],Table2[[#This Row],[tee time5]],Table2[[#This Row],[tee time6]],Table2[[#This Row],[tee time7]]),"")</f>
        <v>0.42777777777777781</v>
      </c>
      <c r="AV107" s="30">
        <f>IFERROR(MEDIAN(Table2[[#This Row],[round1]],Table2[[#This Row],[Round2]],Table2[[#This Row],[round3]],Table2[[#This Row],[round4]],Table2[[#This Row],[round5]],Table2[[#This Row],[round6]],Table2[[#This Row],[round7]]),"")</f>
        <v>0.17986111111111114</v>
      </c>
      <c r="AW107" s="30">
        <f>IFERROR(AVERAGE(Table2[[#This Row],[gap1]],Table2[[#This Row],[gap2]],Table2[[#This Row],[gap3]],Table2[[#This Row],[gap4]],Table2[[#This Row],[gap5]],Table2[[#This Row],[gap6]],Table2[[#This Row],[gap7]]),"")</f>
        <v>6.9444444444445308E-3</v>
      </c>
      <c r="AX107" s="9">
        <f>IFERROR((Table2[[#This Row],[avg gap]]-starting_interval)*24*60*Table2[[#This Row],[Count]],"NA")</f>
        <v>1.2490009027033011E-13</v>
      </c>
      <c r="AY10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4.6259292692714859E-16</v>
      </c>
      <c r="AZ107" s="2"/>
    </row>
    <row r="108" spans="1:52" x14ac:dyDescent="0.3">
      <c r="A108" s="10" t="s">
        <v>195</v>
      </c>
      <c r="B108" s="1" t="s">
        <v>435</v>
      </c>
      <c r="C108" s="19">
        <v>6.9</v>
      </c>
      <c r="D108" s="32" t="str">
        <f>_xlfn.IFNA(VLOOKUP(Table2[[#This Row],[Name]],'Classic day 1 - players'!$A$2:$B$64,2,FALSE),"")</f>
        <v/>
      </c>
      <c r="E108" s="33" t="str">
        <f>IF(Table2[[#This Row],[Tee time1]]&lt;&gt;"",COUNTIF('Classic day 1 - players'!$B$2:$B$64,"="&amp;Table2[[#This Row],[Tee time1]]),"")</f>
        <v/>
      </c>
      <c r="F108" s="33" t="str">
        <f>_xlfn.IFNA(VLOOKUP(Table2[[#This Row],[Tee time1]],'Classic day 1 - groups'!$A$3:$F$20,6,FALSE),"")</f>
        <v/>
      </c>
      <c r="G108" s="11" t="str">
        <f>_xlfn.IFNA(VLOOKUP(Table2[[#This Row],[Tee time1]],'Classic day 1 - groups'!$A$3:$F$20,4,FALSE),"")</f>
        <v/>
      </c>
      <c r="H108" s="12" t="str">
        <f>_xlfn.IFNA(VLOOKUP(Table2[[#This Row],[Tee time1]],'Classic day 1 - groups'!$A$3:$F$20,5,FALSE),"")</f>
        <v/>
      </c>
      <c r="I108" s="69" t="str">
        <f>IFERROR((MAX(starting_interval,IF(Table2[[#This Row],[gap1]]="NA",Table2[[#This Row],[avg gap]],Table2[[#This Row],[gap1]]))-starting_interval)*Table2[[#This Row],[followers1]]/Table2[[#This Row],[group size]],"")</f>
        <v/>
      </c>
      <c r="J108" s="32" t="str">
        <f>_xlfn.IFNA(VLOOKUP(Table2[[#This Row],[Name]],'Classic day 2 - players'!$A$2:$B$64,2,FALSE),"")</f>
        <v/>
      </c>
      <c r="K108" s="33" t="str">
        <f>IF(Table2[[#This Row],[tee time2]]&lt;&gt;"",COUNTIF('Classic day 2 - players'!$B$2:$B$64,"="&amp;Table2[[#This Row],[tee time2]]),"")</f>
        <v/>
      </c>
      <c r="L108" s="33" t="str">
        <f>_xlfn.IFNA(VLOOKUP(Table2[[#This Row],[tee time2]],'Classic day 2 - groups'!$A$3:$F$20,6,FALSE),"")</f>
        <v/>
      </c>
      <c r="M108" s="4" t="str">
        <f>_xlfn.IFNA(VLOOKUP(Table2[[#This Row],[tee time2]],'Classic day 2 - groups'!$A$3:$F$20,4,FALSE),"")</f>
        <v/>
      </c>
      <c r="N108" s="65" t="str">
        <f>_xlfn.IFNA(VLOOKUP(Table2[[#This Row],[tee time2]],'Classic day 2 - groups'!$A$3:$F$20,5,FALSE),"")</f>
        <v/>
      </c>
      <c r="O108" s="69" t="str">
        <f>IFERROR((MAX(starting_interval,IF(Table2[[#This Row],[gap2]]="NA",Table2[[#This Row],[avg gap]],Table2[[#This Row],[gap2]]))-starting_interval)*Table2[[#This Row],[followers2]]/Table2[[#This Row],[group size2]],"")</f>
        <v/>
      </c>
      <c r="P108" s="32" t="str">
        <f>_xlfn.IFNA(VLOOKUP(Table2[[#This Row],[Name]],'Summer FD - players'!$A$2:$B$65,2,FALSE),"")</f>
        <v/>
      </c>
      <c r="Q108" s="59" t="str">
        <f>IF(Table2[[#This Row],[tee time3]]&lt;&gt;"",COUNTIF('Summer FD - players'!$B$2:$B$65,"="&amp;Table2[[#This Row],[tee time3]]),"")</f>
        <v/>
      </c>
      <c r="R108" s="59" t="str">
        <f>_xlfn.IFNA(VLOOKUP(Table2[[#This Row],[tee time3]],'Summer FD - groups'!$A$3:$F$20,6,FALSE),"")</f>
        <v/>
      </c>
      <c r="S108" s="4" t="str">
        <f>_xlfn.IFNA(VLOOKUP(Table2[[#This Row],[tee time3]],'Summer FD - groups'!$A$3:$F$20,4,FALSE),"")</f>
        <v/>
      </c>
      <c r="T108" s="13" t="str">
        <f>_xlfn.IFNA(VLOOKUP(Table2[[#This Row],[tee time3]],'Summer FD - groups'!$A$3:$F$20,5,FALSE),"")</f>
        <v/>
      </c>
      <c r="U108" s="69" t="str">
        <f>IF(Table2[[#This Row],[avg gap]]&lt;&gt;"",IFERROR((MAX(starting_interval,IF(Table2[[#This Row],[gap3]]="NA",Table2[[#This Row],[avg gap]],Table2[[#This Row],[gap3]]))-starting_interval)*Table2[[#This Row],[followers3]]/Table2[[#This Row],[group size3]],""),"")</f>
        <v/>
      </c>
      <c r="V108" s="32" t="str">
        <f>_xlfn.IFNA(VLOOKUP(Table2[[#This Row],[Name]],'6-6-6 - players'!$A$2:$B$69,2,FALSE),"")</f>
        <v/>
      </c>
      <c r="W108" s="59" t="str">
        <f>IF(Table2[[#This Row],[tee time4]]&lt;&gt;"",COUNTIF('6-6-6 - players'!$B$2:$B$69,"="&amp;Table2[[#This Row],[tee time4]]),"")</f>
        <v/>
      </c>
      <c r="X108" s="59" t="str">
        <f>_xlfn.IFNA(VLOOKUP(Table2[[#This Row],[tee time4]],'6-6-6 - groups'!$A$3:$F$20,6,FALSE),"")</f>
        <v/>
      </c>
      <c r="Y108" s="4" t="str">
        <f>_xlfn.IFNA(VLOOKUP(Table2[[#This Row],[tee time4]],'6-6-6 - groups'!$A$3:$F$20,4,FALSE),"")</f>
        <v/>
      </c>
      <c r="Z108" s="13" t="str">
        <f>_xlfn.IFNA(VLOOKUP(Table2[[#This Row],[tee time4]],'6-6-6 - groups'!$A$3:$F$20,5,FALSE),"")</f>
        <v/>
      </c>
      <c r="AA108" s="69" t="str">
        <f>IF(Table2[[#This Row],[avg gap]]&lt;&gt;"",IFERROR((MAX(starting_interval,IF(Table2[[#This Row],[gap4]]="NA",Table2[[#This Row],[avg gap]],Table2[[#This Row],[gap4]]))-starting_interval)*Table2[[#This Row],[followers4]]/Table2[[#This Row],[group size4]],""),"")</f>
        <v/>
      </c>
      <c r="AB108" s="32">
        <f>_xlfn.IFNA(VLOOKUP(Table2[[#This Row],[Name]],'Fall FD - players'!$A$2:$B$65,2,FALSE),"")</f>
        <v>0.42777777777777781</v>
      </c>
      <c r="AC108" s="59">
        <f>IF(Table2[[#This Row],[tee time5]]&lt;&gt;"",COUNTIF('Fall FD - players'!$B$2:$B$65,"="&amp;Table2[[#This Row],[tee time5]]),"")</f>
        <v>3</v>
      </c>
      <c r="AD108" s="59">
        <f>_xlfn.IFNA(VLOOKUP(Table2[[#This Row],[tee time5]],'Fall FD - groups'!$A$3:$F$20,6,FALSE),"")</f>
        <v>16</v>
      </c>
      <c r="AE108" s="4">
        <f>_xlfn.IFNA(VLOOKUP(Table2[[#This Row],[tee time5]],'Fall FD - groups'!$A$3:$F$20,4,FALSE),"")</f>
        <v>0.17986111111111114</v>
      </c>
      <c r="AF108" s="13">
        <f>IFERROR(MIN(_xlfn.IFNA(VLOOKUP(Table2[[#This Row],[tee time5]],'Fall FD - groups'!$A$3:$F$20,5,FALSE),""),starting_interval + Table2[[#This Row],[round5]] - standard_round_time),"")</f>
        <v>6.9444444444445308E-3</v>
      </c>
      <c r="AG108" s="69">
        <f>IF(AND(Table2[[#This Row],[gap5]]="NA",Table2[[#This Row],[round5]]&lt;4/24),0,IFERROR((MAX(starting_interval,IF(Table2[[#This Row],[gap5]]="NA",Table2[[#This Row],[avg gap]],Table2[[#This Row],[gap5]]))-starting_interval)*Table2[[#This Row],[followers5]]/Table2[[#This Row],[group size5]],""))</f>
        <v>4.6259292692714859E-16</v>
      </c>
      <c r="AH108" s="32" t="str">
        <f>_xlfn.IFNA(VLOOKUP(Table2[[#This Row],[Name]],'Stableford - players'!$A$2:$B$65,2,FALSE),"")</f>
        <v/>
      </c>
      <c r="AI108" s="59" t="str">
        <f>IF(Table2[[#This Row],[tee time6]]&lt;&gt;"",COUNTIF('Stableford - players'!$B$2:$B$65,"="&amp;Table2[[#This Row],[tee time6]]),"")</f>
        <v/>
      </c>
      <c r="AJ108" s="59" t="str">
        <f>_xlfn.IFNA(VLOOKUP(Table2[[#This Row],[tee time6]],'Stableford - groups'!$A$3:$F$20,6,FALSE),"")</f>
        <v/>
      </c>
      <c r="AK108" s="11" t="str">
        <f>_xlfn.IFNA(VLOOKUP(Table2[[#This Row],[tee time6]],'Stableford - groups'!$A$3:$F$20,4,FALSE),"")</f>
        <v/>
      </c>
      <c r="AL108" s="13" t="str">
        <f>_xlfn.IFNA(VLOOKUP(Table2[[#This Row],[tee time6]],'Stableford - groups'!$A$3:$F$20,5,FALSE),"")</f>
        <v/>
      </c>
      <c r="AM108" s="68" t="str">
        <f>IF(AND(Table2[[#This Row],[gap6]]="NA",Table2[[#This Row],[round6]]&lt;4/24),0,IFERROR((MAX(starting_interval,IF(Table2[[#This Row],[gap6]]="NA",Table2[[#This Row],[avg gap]],Table2[[#This Row],[gap6]]))-starting_interval)*Table2[[#This Row],[followers6]]/Table2[[#This Row],[group size6]],""))</f>
        <v/>
      </c>
      <c r="AN108" s="32" t="str">
        <f>_xlfn.IFNA(VLOOKUP(Table2[[#This Row],[Name]],'Turkey Shoot - players'!$A$2:$B$65,2,FALSE),"")</f>
        <v/>
      </c>
      <c r="AO108" s="59" t="str">
        <f>IF(Table2[[#This Row],[tee time7]]&lt;&gt;"",COUNTIF('Turkey Shoot - players'!$B$2:$B$65,"="&amp;Table2[[#This Row],[tee time7]]),"")</f>
        <v/>
      </c>
      <c r="AP108" s="59" t="str">
        <f>_xlfn.IFNA(VLOOKUP(Table2[[#This Row],[tee time7]],'Stableford - groups'!$A$3:$F$20,6,FALSE),"")</f>
        <v/>
      </c>
      <c r="AQ108" s="11" t="str">
        <f>_xlfn.IFNA(VLOOKUP(Table2[[#This Row],[tee time7]],'Turkey Shoot - groups'!$A$3:$F$20,4,FALSE),"")</f>
        <v/>
      </c>
      <c r="AR108" s="13" t="str">
        <f>_xlfn.IFNA(VLOOKUP(Table2[[#This Row],[tee time7]],'Turkey Shoot - groups'!$A$3:$F$20,5,FALSE),"")</f>
        <v/>
      </c>
      <c r="AS108" s="68" t="str">
        <f>IF(AND(Table2[[#This Row],[gap7]]="NA",Table2[[#This Row],[round7]]&lt;4/24),0,IFERROR((MAX(starting_interval,IF(Table2[[#This Row],[gap7]]="NA",Table2[[#This Row],[avg gap]],Table2[[#This Row],[gap7]]))-starting_interval)*Table2[[#This Row],[followers7]]/Table2[[#This Row],[group size7]],""))</f>
        <v/>
      </c>
      <c r="AT108" s="72">
        <f>COUNT(Table2[[#This Row],[Tee time1]],Table2[[#This Row],[tee time2]],Table2[[#This Row],[tee time3]],Table2[[#This Row],[tee time4]],Table2[[#This Row],[tee time5]],Table2[[#This Row],[tee time6]],Table2[[#This Row],[tee time7]])</f>
        <v>1</v>
      </c>
      <c r="AU108" s="4">
        <f>IFERROR(AVERAGE(Table2[[#This Row],[Tee time1]],Table2[[#This Row],[tee time2]],Table2[[#This Row],[tee time3]],Table2[[#This Row],[tee time4]],Table2[[#This Row],[tee time5]],Table2[[#This Row],[tee time6]],Table2[[#This Row],[tee time7]]),"")</f>
        <v>0.42777777777777781</v>
      </c>
      <c r="AV108" s="11">
        <f>IFERROR(MEDIAN(Table2[[#This Row],[round1]],Table2[[#This Row],[Round2]],Table2[[#This Row],[round3]],Table2[[#This Row],[round4]],Table2[[#This Row],[round5]],Table2[[#This Row],[round6]],Table2[[#This Row],[round7]]),"")</f>
        <v>0.17986111111111114</v>
      </c>
      <c r="AW108" s="11">
        <f>IFERROR(AVERAGE(Table2[[#This Row],[gap1]],Table2[[#This Row],[gap2]],Table2[[#This Row],[gap3]],Table2[[#This Row],[gap4]],Table2[[#This Row],[gap5]],Table2[[#This Row],[gap6]],Table2[[#This Row],[gap7]]),"")</f>
        <v>6.9444444444445308E-3</v>
      </c>
      <c r="AX108" s="9">
        <f>IFERROR((Table2[[#This Row],[avg gap]]-starting_interval)*24*60*Table2[[#This Row],[Count]],"NA")</f>
        <v>1.2490009027033011E-13</v>
      </c>
      <c r="AY10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4.6259292692714859E-16</v>
      </c>
      <c r="AZ108" s="2"/>
    </row>
    <row r="109" spans="1:52" x14ac:dyDescent="0.3">
      <c r="A109" s="10" t="s">
        <v>133</v>
      </c>
      <c r="B109" s="1" t="s">
        <v>374</v>
      </c>
      <c r="C109" s="19">
        <v>20.5</v>
      </c>
      <c r="D109" s="32">
        <f>_xlfn.IFNA(VLOOKUP(Table2[[#This Row],[Name]],'Classic day 1 - players'!$A$2:$B$64,2,FALSE),"")</f>
        <v>0.43958333333333338</v>
      </c>
      <c r="E109" s="33">
        <f>IF(Table2[[#This Row],[Tee time1]]&lt;&gt;"",COUNTIF('Classic day 1 - players'!$B$2:$B$64,"="&amp;Table2[[#This Row],[Tee time1]]),"")</f>
        <v>2</v>
      </c>
      <c r="F109" s="33">
        <f>_xlfn.IFNA(VLOOKUP(Table2[[#This Row],[Tee time1]],'Classic day 1 - groups'!$A$3:$F$20,6,FALSE),"")</f>
        <v>0</v>
      </c>
      <c r="G109" s="11">
        <f>_xlfn.IFNA(VLOOKUP(Table2[[#This Row],[Tee time1]],'Classic day 1 - groups'!$A$3:$F$20,4,FALSE),"")</f>
        <v>0.19930555555555557</v>
      </c>
      <c r="H109" s="12">
        <f>_xlfn.IFNA(VLOOKUP(Table2[[#This Row],[Tee time1]],'Classic day 1 - groups'!$A$3:$F$20,5,FALSE),"")</f>
        <v>8.3333333333334147E-3</v>
      </c>
      <c r="I109" s="69">
        <f>IFERROR((MAX(starting_interval,IF(Table2[[#This Row],[gap1]]="NA",Table2[[#This Row],[avg gap]],Table2[[#This Row],[gap1]]))-starting_interval)*Table2[[#This Row],[followers1]]/Table2[[#This Row],[group size]],"")</f>
        <v>0</v>
      </c>
      <c r="J109" s="32" t="str">
        <f>_xlfn.IFNA(VLOOKUP(Table2[[#This Row],[Name]],'Classic day 2 - players'!$A$2:$B$64,2,FALSE),"")</f>
        <v/>
      </c>
      <c r="K109" s="33" t="str">
        <f>IF(Table2[[#This Row],[tee time2]]&lt;&gt;"",COUNTIF('Classic day 2 - players'!$B$2:$B$64,"="&amp;Table2[[#This Row],[tee time2]]),"")</f>
        <v/>
      </c>
      <c r="L109" s="33" t="str">
        <f>_xlfn.IFNA(VLOOKUP(Table2[[#This Row],[tee time2]],'Classic day 2 - groups'!$A$3:$F$20,6,FALSE),"")</f>
        <v/>
      </c>
      <c r="M109" s="4" t="str">
        <f>_xlfn.IFNA(VLOOKUP(Table2[[#This Row],[tee time2]],'Classic day 2 - groups'!$A$3:$F$20,4,FALSE),"")</f>
        <v/>
      </c>
      <c r="N109" s="65" t="str">
        <f>_xlfn.IFNA(VLOOKUP(Table2[[#This Row],[tee time2]],'Classic day 2 - groups'!$A$3:$F$20,5,FALSE),"")</f>
        <v/>
      </c>
      <c r="O109" s="69" t="str">
        <f>IFERROR((MAX(starting_interval,IF(Table2[[#This Row],[gap2]]="NA",Table2[[#This Row],[avg gap]],Table2[[#This Row],[gap2]]))-starting_interval)*Table2[[#This Row],[followers2]]/Table2[[#This Row],[group size2]],"")</f>
        <v/>
      </c>
      <c r="P109" s="32">
        <f>_xlfn.IFNA(VLOOKUP(Table2[[#This Row],[Name]],'Summer FD - players'!$A$2:$B$65,2,FALSE),"")</f>
        <v>0.44027777777777777</v>
      </c>
      <c r="Q109" s="59">
        <f>IF(Table2[[#This Row],[tee time3]]&lt;&gt;"",COUNTIF('Summer FD - players'!$B$2:$B$65,"="&amp;Table2[[#This Row],[tee time3]]),"")</f>
        <v>3</v>
      </c>
      <c r="R109" s="59">
        <f>_xlfn.IFNA(VLOOKUP(Table2[[#This Row],[tee time3]],'Summer FD - groups'!$A$3:$F$20,6,FALSE),"")</f>
        <v>0</v>
      </c>
      <c r="S109" s="4">
        <f>_xlfn.IFNA(VLOOKUP(Table2[[#This Row],[tee time3]],'Summer FD - groups'!$A$3:$F$20,4,FALSE),"")</f>
        <v>0.19444444444444436</v>
      </c>
      <c r="T109" s="13">
        <f>_xlfn.IFNA(VLOOKUP(Table2[[#This Row],[tee time3]],'Summer FD - groups'!$A$3:$F$20,5,FALSE),"")</f>
        <v>9.0277777777777457E-3</v>
      </c>
      <c r="U109" s="69">
        <f>IF(Table2[[#This Row],[avg gap]]&lt;&gt;"",IFERROR((MAX(starting_interval,IF(Table2[[#This Row],[gap3]]="NA",Table2[[#This Row],[avg gap]],Table2[[#This Row],[gap3]]))-starting_interval)*Table2[[#This Row],[followers3]]/Table2[[#This Row],[group size3]],""),"")</f>
        <v>0</v>
      </c>
      <c r="V109" s="32" t="str">
        <f>_xlfn.IFNA(VLOOKUP(Table2[[#This Row],[Name]],'6-6-6 - players'!$A$2:$B$69,2,FALSE),"")</f>
        <v/>
      </c>
      <c r="W109" s="59" t="str">
        <f>IF(Table2[[#This Row],[tee time4]]&lt;&gt;"",COUNTIF('6-6-6 - players'!$B$2:$B$69,"="&amp;Table2[[#This Row],[tee time4]]),"")</f>
        <v/>
      </c>
      <c r="X109" s="59" t="str">
        <f>_xlfn.IFNA(VLOOKUP(Table2[[#This Row],[tee time4]],'6-6-6 - groups'!$A$3:$F$20,6,FALSE),"")</f>
        <v/>
      </c>
      <c r="Y109" s="4" t="str">
        <f>_xlfn.IFNA(VLOOKUP(Table2[[#This Row],[tee time4]],'6-6-6 - groups'!$A$3:$F$20,4,FALSE),"")</f>
        <v/>
      </c>
      <c r="Z109" s="13" t="str">
        <f>_xlfn.IFNA(VLOOKUP(Table2[[#This Row],[tee time4]],'6-6-6 - groups'!$A$3:$F$20,5,FALSE),"")</f>
        <v/>
      </c>
      <c r="AA109" s="69" t="str">
        <f>IF(Table2[[#This Row],[avg gap]]&lt;&gt;"",IFERROR((MAX(starting_interval,IF(Table2[[#This Row],[gap4]]="NA",Table2[[#This Row],[avg gap]],Table2[[#This Row],[gap4]]))-starting_interval)*Table2[[#This Row],[followers4]]/Table2[[#This Row],[group size4]],""),"")</f>
        <v/>
      </c>
      <c r="AB109" s="32" t="str">
        <f>_xlfn.IFNA(VLOOKUP(Table2[[#This Row],[Name]],'Fall FD - players'!$A$2:$B$65,2,FALSE),"")</f>
        <v/>
      </c>
      <c r="AC109" s="59" t="str">
        <f>IF(Table2[[#This Row],[tee time5]]&lt;&gt;"",COUNTIF('Fall FD - players'!$B$2:$B$65,"="&amp;Table2[[#This Row],[tee time5]]),"")</f>
        <v/>
      </c>
      <c r="AD109" s="59" t="str">
        <f>_xlfn.IFNA(VLOOKUP(Table2[[#This Row],[tee time5]],'Fall FD - groups'!$A$3:$F$20,6,FALSE),"")</f>
        <v/>
      </c>
      <c r="AE109" s="4" t="str">
        <f>_xlfn.IFNA(VLOOKUP(Table2[[#This Row],[tee time5]],'Fall FD - groups'!$A$3:$F$20,4,FALSE),"")</f>
        <v/>
      </c>
      <c r="AF109" s="13" t="str">
        <f>IFERROR(MIN(_xlfn.IFNA(VLOOKUP(Table2[[#This Row],[tee time5]],'Fall FD - groups'!$A$3:$F$20,5,FALSE),""),starting_interval + Table2[[#This Row],[round5]] - standard_round_time),"")</f>
        <v/>
      </c>
      <c r="AG109" s="69" t="str">
        <f>IF(AND(Table2[[#This Row],[gap5]]="NA",Table2[[#This Row],[round5]]&lt;4/24),0,IFERROR((MAX(starting_interval,IF(Table2[[#This Row],[gap5]]="NA",Table2[[#This Row],[avg gap]],Table2[[#This Row],[gap5]]))-starting_interval)*Table2[[#This Row],[followers5]]/Table2[[#This Row],[group size5]],""))</f>
        <v/>
      </c>
      <c r="AH109" s="32">
        <f>_xlfn.IFNA(VLOOKUP(Table2[[#This Row],[Name]],'Stableford - players'!$A$2:$B$65,2,FALSE),"")</f>
        <v>0.4236111111111111</v>
      </c>
      <c r="AI109" s="59">
        <f>IF(Table2[[#This Row],[tee time6]]&lt;&gt;"",COUNTIF('Stableford - players'!$B$2:$B$65,"="&amp;Table2[[#This Row],[tee time6]]),"")</f>
        <v>4</v>
      </c>
      <c r="AJ109" s="59">
        <f>_xlfn.IFNA(VLOOKUP(Table2[[#This Row],[tee time6]],'Stableford - groups'!$A$3:$F$20,6,FALSE),"")</f>
        <v>8</v>
      </c>
      <c r="AK109" s="11">
        <f>_xlfn.IFNA(VLOOKUP(Table2[[#This Row],[tee time6]],'Stableford - groups'!$A$3:$F$20,4,FALSE),"")</f>
        <v>0.17222222222222222</v>
      </c>
      <c r="AL109" s="13">
        <f>_xlfn.IFNA(VLOOKUP(Table2[[#This Row],[tee time6]],'Stableford - groups'!$A$3:$F$20,5,FALSE),"")</f>
        <v>5.5555555555555358E-3</v>
      </c>
      <c r="AM109" s="68">
        <f>IF(AND(Table2[[#This Row],[gap6]]="NA",Table2[[#This Row],[round6]]&lt;4/24),0,IFERROR((MAX(starting_interval,IF(Table2[[#This Row],[gap6]]="NA",Table2[[#This Row],[avg gap]],Table2[[#This Row],[gap6]]))-starting_interval)*Table2[[#This Row],[followers6]]/Table2[[#This Row],[group size6]],""))</f>
        <v>0</v>
      </c>
      <c r="AN109" s="32" t="str">
        <f>_xlfn.IFNA(VLOOKUP(Table2[[#This Row],[Name]],'Turkey Shoot - players'!$A$2:$B$65,2,FALSE),"")</f>
        <v/>
      </c>
      <c r="AO109" s="59" t="str">
        <f>IF(Table2[[#This Row],[tee time7]]&lt;&gt;"",COUNTIF('Turkey Shoot - players'!$B$2:$B$65,"="&amp;Table2[[#This Row],[tee time7]]),"")</f>
        <v/>
      </c>
      <c r="AP109" s="59" t="str">
        <f>_xlfn.IFNA(VLOOKUP(Table2[[#This Row],[tee time7]],'Stableford - groups'!$A$3:$F$20,6,FALSE),"")</f>
        <v/>
      </c>
      <c r="AQ109" s="11" t="str">
        <f>_xlfn.IFNA(VLOOKUP(Table2[[#This Row],[tee time7]],'Turkey Shoot - groups'!$A$3:$F$20,4,FALSE),"")</f>
        <v/>
      </c>
      <c r="AR109" s="13" t="str">
        <f>_xlfn.IFNA(VLOOKUP(Table2[[#This Row],[tee time7]],'Turkey Shoot - groups'!$A$3:$F$20,5,FALSE),"")</f>
        <v/>
      </c>
      <c r="AS109" s="68" t="str">
        <f>IF(AND(Table2[[#This Row],[gap7]]="NA",Table2[[#This Row],[round7]]&lt;4/24),0,IFERROR((MAX(starting_interval,IF(Table2[[#This Row],[gap7]]="NA",Table2[[#This Row],[avg gap]],Table2[[#This Row],[gap7]]))-starting_interval)*Table2[[#This Row],[followers7]]/Table2[[#This Row],[group size7]],""))</f>
        <v/>
      </c>
      <c r="AT109" s="72">
        <f>COUNT(Table2[[#This Row],[Tee time1]],Table2[[#This Row],[tee time2]],Table2[[#This Row],[tee time3]],Table2[[#This Row],[tee time4]],Table2[[#This Row],[tee time5]],Table2[[#This Row],[tee time6]],Table2[[#This Row],[tee time7]])</f>
        <v>3</v>
      </c>
      <c r="AU109" s="4">
        <f>IFERROR(AVERAGE(Table2[[#This Row],[Tee time1]],Table2[[#This Row],[tee time2]],Table2[[#This Row],[tee time3]],Table2[[#This Row],[tee time4]],Table2[[#This Row],[tee time5]],Table2[[#This Row],[tee time6]],Table2[[#This Row],[tee time7]]),"")</f>
        <v>0.43449074074074079</v>
      </c>
      <c r="AV109" s="11">
        <f>IFERROR(MEDIAN(Table2[[#This Row],[round1]],Table2[[#This Row],[Round2]],Table2[[#This Row],[round3]],Table2[[#This Row],[round4]],Table2[[#This Row],[round5]],Table2[[#This Row],[round6]],Table2[[#This Row],[round7]]),"")</f>
        <v>0.19444444444444436</v>
      </c>
      <c r="AW109" s="11">
        <f>IFERROR(AVERAGE(Table2[[#This Row],[gap1]],Table2[[#This Row],[gap2]],Table2[[#This Row],[gap3]],Table2[[#This Row],[gap4]],Table2[[#This Row],[gap5]],Table2[[#This Row],[gap6]],Table2[[#This Row],[gap7]]),"")</f>
        <v>7.638888888888899E-3</v>
      </c>
      <c r="AX109" s="9">
        <f>IFERROR((Table2[[#This Row],[avg gap]]-starting_interval)*24*60*Table2[[#This Row],[Count]],"NA")</f>
        <v>3.0000000000000453</v>
      </c>
      <c r="AY10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09" s="2"/>
    </row>
    <row r="110" spans="1:52" x14ac:dyDescent="0.3">
      <c r="A110" s="10" t="s">
        <v>207</v>
      </c>
      <c r="B110" s="1" t="s">
        <v>448</v>
      </c>
      <c r="C110" s="19">
        <v>14.8</v>
      </c>
      <c r="D110" s="32" t="str">
        <f>_xlfn.IFNA(VLOOKUP(Table2[[#This Row],[Name]],'Classic day 1 - players'!$A$2:$B$64,2,FALSE),"")</f>
        <v/>
      </c>
      <c r="E110" s="33" t="str">
        <f>IF(Table2[[#This Row],[Tee time1]]&lt;&gt;"",COUNTIF('Classic day 1 - players'!$B$2:$B$64,"="&amp;Table2[[#This Row],[Tee time1]]),"")</f>
        <v/>
      </c>
      <c r="F110" s="33" t="str">
        <f>_xlfn.IFNA(VLOOKUP(Table2[[#This Row],[Tee time1]],'Classic day 1 - groups'!$A$3:$F$20,6,FALSE),"")</f>
        <v/>
      </c>
      <c r="G110" s="11" t="str">
        <f>_xlfn.IFNA(VLOOKUP(Table2[[#This Row],[Tee time1]],'Classic day 1 - groups'!$A$3:$F$20,4,FALSE),"")</f>
        <v/>
      </c>
      <c r="H110" s="12" t="str">
        <f>_xlfn.IFNA(VLOOKUP(Table2[[#This Row],[Tee time1]],'Classic day 1 - groups'!$A$3:$F$20,5,FALSE),"")</f>
        <v/>
      </c>
      <c r="I110" s="69" t="str">
        <f>IFERROR((MAX(starting_interval,IF(Table2[[#This Row],[gap1]]="NA",Table2[[#This Row],[avg gap]],Table2[[#This Row],[gap1]]))-starting_interval)*Table2[[#This Row],[followers1]]/Table2[[#This Row],[group size]],"")</f>
        <v/>
      </c>
      <c r="J110" s="32" t="str">
        <f>_xlfn.IFNA(VLOOKUP(Table2[[#This Row],[Name]],'Classic day 2 - players'!$A$2:$B$64,2,FALSE),"")</f>
        <v/>
      </c>
      <c r="K110" s="33" t="str">
        <f>IF(Table2[[#This Row],[tee time2]]&lt;&gt;"",COUNTIF('Classic day 2 - players'!$B$2:$B$64,"="&amp;Table2[[#This Row],[tee time2]]),"")</f>
        <v/>
      </c>
      <c r="L110" s="33" t="str">
        <f>_xlfn.IFNA(VLOOKUP(Table2[[#This Row],[tee time2]],'Classic day 2 - groups'!$A$3:$F$20,6,FALSE),"")</f>
        <v/>
      </c>
      <c r="M110" s="4" t="str">
        <f>_xlfn.IFNA(VLOOKUP(Table2[[#This Row],[tee time2]],'Classic day 2 - groups'!$A$3:$F$20,4,FALSE),"")</f>
        <v/>
      </c>
      <c r="N110" s="65" t="str">
        <f>_xlfn.IFNA(VLOOKUP(Table2[[#This Row],[tee time2]],'Classic day 2 - groups'!$A$3:$F$20,5,FALSE),"")</f>
        <v/>
      </c>
      <c r="O110" s="69" t="str">
        <f>IFERROR((MAX(starting_interval,IF(Table2[[#This Row],[gap2]]="NA",Table2[[#This Row],[avg gap]],Table2[[#This Row],[gap2]]))-starting_interval)*Table2[[#This Row],[followers2]]/Table2[[#This Row],[group size2]],"")</f>
        <v/>
      </c>
      <c r="P110" s="32">
        <f>_xlfn.IFNA(VLOOKUP(Table2[[#This Row],[Name]],'Summer FD - players'!$A$2:$B$65,2,FALSE),"")</f>
        <v>0.44027777777777777</v>
      </c>
      <c r="Q110" s="59">
        <f>IF(Table2[[#This Row],[tee time3]]&lt;&gt;"",COUNTIF('Summer FD - players'!$B$2:$B$65,"="&amp;Table2[[#This Row],[tee time3]]),"")</f>
        <v>3</v>
      </c>
      <c r="R110" s="59">
        <f>_xlfn.IFNA(VLOOKUP(Table2[[#This Row],[tee time3]],'Summer FD - groups'!$A$3:$F$20,6,FALSE),"")</f>
        <v>0</v>
      </c>
      <c r="S110" s="4">
        <f>_xlfn.IFNA(VLOOKUP(Table2[[#This Row],[tee time3]],'Summer FD - groups'!$A$3:$F$20,4,FALSE),"")</f>
        <v>0.19444444444444436</v>
      </c>
      <c r="T110" s="13">
        <f>_xlfn.IFNA(VLOOKUP(Table2[[#This Row],[tee time3]],'Summer FD - groups'!$A$3:$F$20,5,FALSE),"")</f>
        <v>9.0277777777777457E-3</v>
      </c>
      <c r="U110" s="69">
        <f>IF(Table2[[#This Row],[avg gap]]&lt;&gt;"",IFERROR((MAX(starting_interval,IF(Table2[[#This Row],[gap3]]="NA",Table2[[#This Row],[avg gap]],Table2[[#This Row],[gap3]]))-starting_interval)*Table2[[#This Row],[followers3]]/Table2[[#This Row],[group size3]],""),"")</f>
        <v>0</v>
      </c>
      <c r="V110" s="32" t="str">
        <f>_xlfn.IFNA(VLOOKUP(Table2[[#This Row],[Name]],'6-6-6 - players'!$A$2:$B$69,2,FALSE),"")</f>
        <v/>
      </c>
      <c r="W110" s="59" t="str">
        <f>IF(Table2[[#This Row],[tee time4]]&lt;&gt;"",COUNTIF('6-6-6 - players'!$B$2:$B$69,"="&amp;Table2[[#This Row],[tee time4]]),"")</f>
        <v/>
      </c>
      <c r="X110" s="59" t="str">
        <f>_xlfn.IFNA(VLOOKUP(Table2[[#This Row],[tee time4]],'6-6-6 - groups'!$A$3:$F$20,6,FALSE),"")</f>
        <v/>
      </c>
      <c r="Y110" s="4" t="str">
        <f>_xlfn.IFNA(VLOOKUP(Table2[[#This Row],[tee time4]],'6-6-6 - groups'!$A$3:$F$20,4,FALSE),"")</f>
        <v/>
      </c>
      <c r="Z110" s="13" t="str">
        <f>_xlfn.IFNA(VLOOKUP(Table2[[#This Row],[tee time4]],'6-6-6 - groups'!$A$3:$F$20,5,FALSE),"")</f>
        <v/>
      </c>
      <c r="AA110" s="69" t="str">
        <f>IF(Table2[[#This Row],[avg gap]]&lt;&gt;"",IFERROR((MAX(starting_interval,IF(Table2[[#This Row],[gap4]]="NA",Table2[[#This Row],[avg gap]],Table2[[#This Row],[gap4]]))-starting_interval)*Table2[[#This Row],[followers4]]/Table2[[#This Row],[group size4]],""),"")</f>
        <v/>
      </c>
      <c r="AB110" s="32" t="str">
        <f>_xlfn.IFNA(VLOOKUP(Table2[[#This Row],[Name]],'Fall FD - players'!$A$2:$B$65,2,FALSE),"")</f>
        <v/>
      </c>
      <c r="AC110" s="59" t="str">
        <f>IF(Table2[[#This Row],[tee time5]]&lt;&gt;"",COUNTIF('Fall FD - players'!$B$2:$B$65,"="&amp;Table2[[#This Row],[tee time5]]),"")</f>
        <v/>
      </c>
      <c r="AD110" s="59" t="str">
        <f>_xlfn.IFNA(VLOOKUP(Table2[[#This Row],[tee time5]],'Fall FD - groups'!$A$3:$F$20,6,FALSE),"")</f>
        <v/>
      </c>
      <c r="AE110" s="4" t="str">
        <f>_xlfn.IFNA(VLOOKUP(Table2[[#This Row],[tee time5]],'Fall FD - groups'!$A$3:$F$20,4,FALSE),"")</f>
        <v/>
      </c>
      <c r="AF110" s="13" t="str">
        <f>IFERROR(MIN(_xlfn.IFNA(VLOOKUP(Table2[[#This Row],[tee time5]],'Fall FD - groups'!$A$3:$F$20,5,FALSE),""),starting_interval + Table2[[#This Row],[round5]] - standard_round_time),"")</f>
        <v/>
      </c>
      <c r="AG110" s="69" t="str">
        <f>IF(AND(Table2[[#This Row],[gap5]]="NA",Table2[[#This Row],[round5]]&lt;4/24),0,IFERROR((MAX(starting_interval,IF(Table2[[#This Row],[gap5]]="NA",Table2[[#This Row],[avg gap]],Table2[[#This Row],[gap5]]))-starting_interval)*Table2[[#This Row],[followers5]]/Table2[[#This Row],[group size5]],""))</f>
        <v/>
      </c>
      <c r="AH110" s="32" t="str">
        <f>_xlfn.IFNA(VLOOKUP(Table2[[#This Row],[Name]],'Stableford - players'!$A$2:$B$65,2,FALSE),"")</f>
        <v/>
      </c>
      <c r="AI110" s="59" t="str">
        <f>IF(Table2[[#This Row],[tee time6]]&lt;&gt;"",COUNTIF('Stableford - players'!$B$2:$B$65,"="&amp;Table2[[#This Row],[tee time6]]),"")</f>
        <v/>
      </c>
      <c r="AJ110" s="59" t="str">
        <f>_xlfn.IFNA(VLOOKUP(Table2[[#This Row],[tee time6]],'Stableford - groups'!$A$3:$F$20,6,FALSE),"")</f>
        <v/>
      </c>
      <c r="AK110" s="11" t="str">
        <f>_xlfn.IFNA(VLOOKUP(Table2[[#This Row],[tee time6]],'Stableford - groups'!$A$3:$F$20,4,FALSE),"")</f>
        <v/>
      </c>
      <c r="AL110" s="13" t="str">
        <f>_xlfn.IFNA(VLOOKUP(Table2[[#This Row],[tee time6]],'Stableford - groups'!$A$3:$F$20,5,FALSE),"")</f>
        <v/>
      </c>
      <c r="AM110" s="68" t="str">
        <f>IF(AND(Table2[[#This Row],[gap6]]="NA",Table2[[#This Row],[round6]]&lt;4/24),0,IFERROR((MAX(starting_interval,IF(Table2[[#This Row],[gap6]]="NA",Table2[[#This Row],[avg gap]],Table2[[#This Row],[gap6]]))-starting_interval)*Table2[[#This Row],[followers6]]/Table2[[#This Row],[group size6]],""))</f>
        <v/>
      </c>
      <c r="AN110" s="32" t="str">
        <f>_xlfn.IFNA(VLOOKUP(Table2[[#This Row],[Name]],'Turkey Shoot - players'!$A$2:$B$65,2,FALSE),"")</f>
        <v/>
      </c>
      <c r="AO110" s="59" t="str">
        <f>IF(Table2[[#This Row],[tee time7]]&lt;&gt;"",COUNTIF('Turkey Shoot - players'!$B$2:$B$65,"="&amp;Table2[[#This Row],[tee time7]]),"")</f>
        <v/>
      </c>
      <c r="AP110" s="59" t="str">
        <f>_xlfn.IFNA(VLOOKUP(Table2[[#This Row],[tee time7]],'Stableford - groups'!$A$3:$F$20,6,FALSE),"")</f>
        <v/>
      </c>
      <c r="AQ110" s="11" t="str">
        <f>_xlfn.IFNA(VLOOKUP(Table2[[#This Row],[tee time7]],'Turkey Shoot - groups'!$A$3:$F$20,4,FALSE),"")</f>
        <v/>
      </c>
      <c r="AR110" s="13" t="str">
        <f>_xlfn.IFNA(VLOOKUP(Table2[[#This Row],[tee time7]],'Turkey Shoot - groups'!$A$3:$F$20,5,FALSE),"")</f>
        <v/>
      </c>
      <c r="AS110" s="68" t="str">
        <f>IF(AND(Table2[[#This Row],[gap7]]="NA",Table2[[#This Row],[round7]]&lt;4/24),0,IFERROR((MAX(starting_interval,IF(Table2[[#This Row],[gap7]]="NA",Table2[[#This Row],[avg gap]],Table2[[#This Row],[gap7]]))-starting_interval)*Table2[[#This Row],[followers7]]/Table2[[#This Row],[group size7]],""))</f>
        <v/>
      </c>
      <c r="AT110" s="72">
        <f>COUNT(Table2[[#This Row],[Tee time1]],Table2[[#This Row],[tee time2]],Table2[[#This Row],[tee time3]],Table2[[#This Row],[tee time4]],Table2[[#This Row],[tee time5]],Table2[[#This Row],[tee time6]],Table2[[#This Row],[tee time7]])</f>
        <v>1</v>
      </c>
      <c r="AU110" s="4">
        <f>IFERROR(AVERAGE(Table2[[#This Row],[Tee time1]],Table2[[#This Row],[tee time2]],Table2[[#This Row],[tee time3]],Table2[[#This Row],[tee time4]],Table2[[#This Row],[tee time5]],Table2[[#This Row],[tee time6]],Table2[[#This Row],[tee time7]]),"")</f>
        <v>0.44027777777777777</v>
      </c>
      <c r="AV110" s="11">
        <f>IFERROR(MEDIAN(Table2[[#This Row],[round1]],Table2[[#This Row],[Round2]],Table2[[#This Row],[round3]],Table2[[#This Row],[round4]],Table2[[#This Row],[round5]],Table2[[#This Row],[round6]],Table2[[#This Row],[round7]]),"")</f>
        <v>0.19444444444444436</v>
      </c>
      <c r="AW110" s="11">
        <f>IFERROR(AVERAGE(Table2[[#This Row],[gap1]],Table2[[#This Row],[gap2]],Table2[[#This Row],[gap3]],Table2[[#This Row],[gap4]],Table2[[#This Row],[gap5]],Table2[[#This Row],[gap6]],Table2[[#This Row],[gap7]]),"")</f>
        <v>9.0277777777777457E-3</v>
      </c>
      <c r="AX110" s="9">
        <f>IFERROR((Table2[[#This Row],[avg gap]]-starting_interval)*24*60*Table2[[#This Row],[Count]],"NA")</f>
        <v>2.9999999999999543</v>
      </c>
      <c r="AY11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10" s="2"/>
    </row>
    <row r="111" spans="1:52" x14ac:dyDescent="0.3">
      <c r="A111" s="10" t="s">
        <v>130</v>
      </c>
      <c r="B111" s="1" t="s">
        <v>371</v>
      </c>
      <c r="C111" s="19">
        <v>20.6</v>
      </c>
      <c r="D111" s="32" t="str">
        <f>_xlfn.IFNA(VLOOKUP(Table2[[#This Row],[Name]],'Classic day 1 - players'!$A$2:$B$64,2,FALSE),"")</f>
        <v/>
      </c>
      <c r="E111" s="33" t="str">
        <f>IF(Table2[[#This Row],[Tee time1]]&lt;&gt;"",COUNTIF('Classic day 1 - players'!$B$2:$B$64,"="&amp;Table2[[#This Row],[Tee time1]]),"")</f>
        <v/>
      </c>
      <c r="F111" s="33" t="str">
        <f>_xlfn.IFNA(VLOOKUP(Table2[[#This Row],[Tee time1]],'Classic day 1 - groups'!$A$3:$F$20,6,FALSE),"")</f>
        <v/>
      </c>
      <c r="G111" s="11" t="str">
        <f>_xlfn.IFNA(VLOOKUP(Table2[[#This Row],[Tee time1]],'Classic day 1 - groups'!$A$3:$F$20,4,FALSE),"")</f>
        <v/>
      </c>
      <c r="H111" s="12" t="str">
        <f>_xlfn.IFNA(VLOOKUP(Table2[[#This Row],[Tee time1]],'Classic day 1 - groups'!$A$3:$F$20,5,FALSE),"")</f>
        <v/>
      </c>
      <c r="I111" s="69" t="str">
        <f>IFERROR((MAX(starting_interval,IF(Table2[[#This Row],[gap1]]="NA",Table2[[#This Row],[avg gap]],Table2[[#This Row],[gap1]]))-starting_interval)*Table2[[#This Row],[followers1]]/Table2[[#This Row],[group size]],"")</f>
        <v/>
      </c>
      <c r="J111" s="32" t="str">
        <f>_xlfn.IFNA(VLOOKUP(Table2[[#This Row],[Name]],'Classic day 2 - players'!$A$2:$B$64,2,FALSE),"")</f>
        <v/>
      </c>
      <c r="K111" s="33" t="str">
        <f>IF(Table2[[#This Row],[tee time2]]&lt;&gt;"",COUNTIF('Classic day 2 - players'!$B$2:$B$64,"="&amp;Table2[[#This Row],[tee time2]]),"")</f>
        <v/>
      </c>
      <c r="L111" s="33" t="str">
        <f>_xlfn.IFNA(VLOOKUP(Table2[[#This Row],[tee time2]],'Classic day 2 - groups'!$A$3:$F$20,6,FALSE),"")</f>
        <v/>
      </c>
      <c r="M111" s="4" t="str">
        <f>_xlfn.IFNA(VLOOKUP(Table2[[#This Row],[tee time2]],'Classic day 2 - groups'!$A$3:$F$20,4,FALSE),"")</f>
        <v/>
      </c>
      <c r="N111" s="65" t="str">
        <f>_xlfn.IFNA(VLOOKUP(Table2[[#This Row],[tee time2]],'Classic day 2 - groups'!$A$3:$F$20,5,FALSE),"")</f>
        <v/>
      </c>
      <c r="O111" s="69" t="str">
        <f>IFERROR((MAX(starting_interval,IF(Table2[[#This Row],[gap2]]="NA",Table2[[#This Row],[avg gap]],Table2[[#This Row],[gap2]]))-starting_interval)*Table2[[#This Row],[followers2]]/Table2[[#This Row],[group size2]],"")</f>
        <v/>
      </c>
      <c r="P111" s="32">
        <f>_xlfn.IFNA(VLOOKUP(Table2[[#This Row],[Name]],'Summer FD - players'!$A$2:$B$65,2,FALSE),"")</f>
        <v>0.39861111111111108</v>
      </c>
      <c r="Q111" s="59">
        <f>IF(Table2[[#This Row],[tee time3]]&lt;&gt;"",COUNTIF('Summer FD - players'!$B$2:$B$65,"="&amp;Table2[[#This Row],[tee time3]]),"")</f>
        <v>4</v>
      </c>
      <c r="R111" s="59">
        <f>_xlfn.IFNA(VLOOKUP(Table2[[#This Row],[tee time3]],'Summer FD - groups'!$A$3:$F$20,6,FALSE),"")</f>
        <v>24</v>
      </c>
      <c r="S111" s="4">
        <f>_xlfn.IFNA(VLOOKUP(Table2[[#This Row],[tee time3]],'Summer FD - groups'!$A$3:$F$20,4,FALSE),"")</f>
        <v>0.19722222222222224</v>
      </c>
      <c r="T111" s="13">
        <f>_xlfn.IFNA(VLOOKUP(Table2[[#This Row],[tee time3]],'Summer FD - groups'!$A$3:$F$20,5,FALSE),"")</f>
        <v>6.2499999999999778E-3</v>
      </c>
      <c r="U111" s="69">
        <f>IF(Table2[[#This Row],[avg gap]]&lt;&gt;"",IFERROR((MAX(starting_interval,IF(Table2[[#This Row],[gap3]]="NA",Table2[[#This Row],[avg gap]],Table2[[#This Row],[gap3]]))-starting_interval)*Table2[[#This Row],[followers3]]/Table2[[#This Row],[group size3]],""),"")</f>
        <v>0</v>
      </c>
      <c r="V111" s="32">
        <f>_xlfn.IFNA(VLOOKUP(Table2[[#This Row],[Name]],'6-6-6 - players'!$A$2:$B$69,2,FALSE),"")</f>
        <v>0.40277777777777773</v>
      </c>
      <c r="W111" s="59">
        <f>IF(Table2[[#This Row],[tee time4]]&lt;&gt;"",COUNTIF('6-6-6 - players'!$B$2:$B$69,"="&amp;Table2[[#This Row],[tee time4]]),"")</f>
        <v>4</v>
      </c>
      <c r="X111" s="59">
        <f>_xlfn.IFNA(VLOOKUP(Table2[[#This Row],[tee time4]],'6-6-6 - groups'!$A$3:$F$20,6,FALSE),"")</f>
        <v>28</v>
      </c>
      <c r="Y111" s="4">
        <f>_xlfn.IFNA(VLOOKUP(Table2[[#This Row],[tee time4]],'6-6-6 - groups'!$A$3:$F$20,4,FALSE),"")</f>
        <v>0.17083333333333345</v>
      </c>
      <c r="Z111" s="13">
        <f>_xlfn.IFNA(VLOOKUP(Table2[[#This Row],[tee time4]],'6-6-6 - groups'!$A$3:$F$20,5,FALSE),"")</f>
        <v>6.2500000000000888E-3</v>
      </c>
      <c r="AA111" s="69">
        <f>IF(Table2[[#This Row],[avg gap]]&lt;&gt;"",IFERROR((MAX(starting_interval,IF(Table2[[#This Row],[gap4]]="NA",Table2[[#This Row],[avg gap]],Table2[[#This Row],[gap4]]))-starting_interval)*Table2[[#This Row],[followers4]]/Table2[[#This Row],[group size4]],""),"")</f>
        <v>0</v>
      </c>
      <c r="AB111" s="32" t="str">
        <f>_xlfn.IFNA(VLOOKUP(Table2[[#This Row],[Name]],'Fall FD - players'!$A$2:$B$65,2,FALSE),"")</f>
        <v/>
      </c>
      <c r="AC111" s="59" t="str">
        <f>IF(Table2[[#This Row],[tee time5]]&lt;&gt;"",COUNTIF('Fall FD - players'!$B$2:$B$65,"="&amp;Table2[[#This Row],[tee time5]]),"")</f>
        <v/>
      </c>
      <c r="AD111" s="59" t="str">
        <f>_xlfn.IFNA(VLOOKUP(Table2[[#This Row],[tee time5]],'Fall FD - groups'!$A$3:$F$20,6,FALSE),"")</f>
        <v/>
      </c>
      <c r="AE111" s="4" t="str">
        <f>_xlfn.IFNA(VLOOKUP(Table2[[#This Row],[tee time5]],'Fall FD - groups'!$A$3:$F$20,4,FALSE),"")</f>
        <v/>
      </c>
      <c r="AF111" s="13" t="str">
        <f>IFERROR(MIN(_xlfn.IFNA(VLOOKUP(Table2[[#This Row],[tee time5]],'Fall FD - groups'!$A$3:$F$20,5,FALSE),""),starting_interval + Table2[[#This Row],[round5]] - standard_round_time),"")</f>
        <v/>
      </c>
      <c r="AG111" s="69" t="str">
        <f>IF(AND(Table2[[#This Row],[gap5]]="NA",Table2[[#This Row],[round5]]&lt;4/24),0,IFERROR((MAX(starting_interval,IF(Table2[[#This Row],[gap5]]="NA",Table2[[#This Row],[avg gap]],Table2[[#This Row],[gap5]]))-starting_interval)*Table2[[#This Row],[followers5]]/Table2[[#This Row],[group size5]],""))</f>
        <v/>
      </c>
      <c r="AH111" s="32" t="str">
        <f>_xlfn.IFNA(VLOOKUP(Table2[[#This Row],[Name]],'Stableford - players'!$A$2:$B$65,2,FALSE),"")</f>
        <v/>
      </c>
      <c r="AI111" s="59" t="str">
        <f>IF(Table2[[#This Row],[tee time6]]&lt;&gt;"",COUNTIF('Stableford - players'!$B$2:$B$65,"="&amp;Table2[[#This Row],[tee time6]]),"")</f>
        <v/>
      </c>
      <c r="AJ111" s="59" t="str">
        <f>_xlfn.IFNA(VLOOKUP(Table2[[#This Row],[tee time6]],'Stableford - groups'!$A$3:$F$20,6,FALSE),"")</f>
        <v/>
      </c>
      <c r="AK111" s="11" t="str">
        <f>_xlfn.IFNA(VLOOKUP(Table2[[#This Row],[tee time6]],'Stableford - groups'!$A$3:$F$20,4,FALSE),"")</f>
        <v/>
      </c>
      <c r="AL111" s="13" t="str">
        <f>_xlfn.IFNA(VLOOKUP(Table2[[#This Row],[tee time6]],'Stableford - groups'!$A$3:$F$20,5,FALSE),"")</f>
        <v/>
      </c>
      <c r="AM111" s="68" t="str">
        <f>IF(AND(Table2[[#This Row],[gap6]]="NA",Table2[[#This Row],[round6]]&lt;4/24),0,IFERROR((MAX(starting_interval,IF(Table2[[#This Row],[gap6]]="NA",Table2[[#This Row],[avg gap]],Table2[[#This Row],[gap6]]))-starting_interval)*Table2[[#This Row],[followers6]]/Table2[[#This Row],[group size6]],""))</f>
        <v/>
      </c>
      <c r="AN111" s="32">
        <f>_xlfn.IFNA(VLOOKUP(Table2[[#This Row],[Name]],'Turkey Shoot - players'!$A$2:$B$65,2,FALSE),"")</f>
        <v>0.4375</v>
      </c>
      <c r="AO111" s="59">
        <f>IF(Table2[[#This Row],[tee time7]]&lt;&gt;"",COUNTIF('Turkey Shoot - players'!$B$2:$B$65,"="&amp;Table2[[#This Row],[tee time7]]),"")</f>
        <v>4</v>
      </c>
      <c r="AP111" s="59">
        <f>_xlfn.IFNA(VLOOKUP(Table2[[#This Row],[tee time7]],'Stableford - groups'!$A$3:$F$20,6,FALSE),"")</f>
        <v>0</v>
      </c>
      <c r="AQ111" s="11">
        <f>_xlfn.IFNA(VLOOKUP(Table2[[#This Row],[tee time7]],'Turkey Shoot - groups'!$A$3:$F$20,4,FALSE),"")</f>
        <v>0.18263888888888891</v>
      </c>
      <c r="AR111" s="13">
        <f>_xlfn.IFNA(VLOOKUP(Table2[[#This Row],[tee time7]],'Turkey Shoot - groups'!$A$3:$F$20,5,FALSE),"")</f>
        <v>9.7222222222222224E-3</v>
      </c>
      <c r="AS111" s="68">
        <f>IF(AND(Table2[[#This Row],[gap7]]="NA",Table2[[#This Row],[round7]]&lt;4/24),0,IFERROR((MAX(starting_interval,IF(Table2[[#This Row],[gap7]]="NA",Table2[[#This Row],[avg gap]],Table2[[#This Row],[gap7]]))-starting_interval)*Table2[[#This Row],[followers7]]/Table2[[#This Row],[group size7]],""))</f>
        <v>0</v>
      </c>
      <c r="AT111" s="72">
        <f>COUNT(Table2[[#This Row],[Tee time1]],Table2[[#This Row],[tee time2]],Table2[[#This Row],[tee time3]],Table2[[#This Row],[tee time4]],Table2[[#This Row],[tee time5]],Table2[[#This Row],[tee time6]],Table2[[#This Row],[tee time7]])</f>
        <v>3</v>
      </c>
      <c r="AU111" s="4">
        <f>IFERROR(AVERAGE(Table2[[#This Row],[Tee time1]],Table2[[#This Row],[tee time2]],Table2[[#This Row],[tee time3]],Table2[[#This Row],[tee time4]],Table2[[#This Row],[tee time5]],Table2[[#This Row],[tee time6]],Table2[[#This Row],[tee time7]]),"")</f>
        <v>0.41296296296296298</v>
      </c>
      <c r="AV111" s="11">
        <f>IFERROR(MEDIAN(Table2[[#This Row],[round1]],Table2[[#This Row],[Round2]],Table2[[#This Row],[round3]],Table2[[#This Row],[round4]],Table2[[#This Row],[round5]],Table2[[#This Row],[round6]],Table2[[#This Row],[round7]]),"")</f>
        <v>0.18263888888888891</v>
      </c>
      <c r="AW111" s="11">
        <f>IFERROR(AVERAGE(Table2[[#This Row],[gap1]],Table2[[#This Row],[gap2]],Table2[[#This Row],[gap3]],Table2[[#This Row],[gap4]],Table2[[#This Row],[gap5]],Table2[[#This Row],[gap6]],Table2[[#This Row],[gap7]]),"")</f>
        <v>7.4074074074074294E-3</v>
      </c>
      <c r="AX111" s="9">
        <f>IFERROR((Table2[[#This Row],[avg gap]]-starting_interval)*24*60*Table2[[#This Row],[Count]],"NA")</f>
        <v>2.0000000000000964</v>
      </c>
      <c r="AY11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11" s="2"/>
    </row>
    <row r="112" spans="1:52" x14ac:dyDescent="0.3">
      <c r="A112" s="10" t="s">
        <v>483</v>
      </c>
      <c r="B112" s="28"/>
      <c r="C112" s="29">
        <v>21</v>
      </c>
      <c r="D112" s="63" t="str">
        <f>_xlfn.IFNA(VLOOKUP(Table2[[#This Row],[Name]],'Classic day 1 - players'!$A$2:$B$64,2,FALSE),"")</f>
        <v/>
      </c>
      <c r="E112" s="34" t="str">
        <f>IF(Table2[[#This Row],[Tee time1]]&lt;&gt;"",COUNTIF('Classic day 1 - players'!$B$2:$B$64,"="&amp;Table2[[#This Row],[Tee time1]]),"")</f>
        <v/>
      </c>
      <c r="F112" s="34" t="str">
        <f>_xlfn.IFNA(VLOOKUP(Table2[[#This Row],[Tee time1]],'Classic day 1 - groups'!$A$3:$F$20,6,FALSE),"")</f>
        <v/>
      </c>
      <c r="G112" s="30" t="str">
        <f>_xlfn.IFNA(VLOOKUP(Table2[[#This Row],[Tee time1]],'Classic day 1 - groups'!$A$3:$F$20,4,FALSE),"")</f>
        <v/>
      </c>
      <c r="H112" s="64" t="str">
        <f>_xlfn.IFNA(VLOOKUP(Table2[[#This Row],[Tee time1]],'Classic day 1 - groups'!$A$3:$F$20,5,FALSE),"")</f>
        <v/>
      </c>
      <c r="I112" s="69" t="str">
        <f>IFERROR((MAX(starting_interval,IF(Table2[[#This Row],[gap1]]="NA",Table2[[#This Row],[avg gap]],Table2[[#This Row],[gap1]]))-starting_interval)*Table2[[#This Row],[followers1]]/Table2[[#This Row],[group size]],"")</f>
        <v/>
      </c>
      <c r="J112" s="32" t="str">
        <f>_xlfn.IFNA(VLOOKUP(Table2[[#This Row],[Name]],'Classic day 2 - players'!$A$2:$B$64,2,FALSE),"")</f>
        <v/>
      </c>
      <c r="K112" s="34" t="str">
        <f>IF(Table2[[#This Row],[tee time2]]&lt;&gt;"",COUNTIF('Classic day 2 - players'!$B$2:$B$64,"="&amp;Table2[[#This Row],[tee time2]]),"")</f>
        <v/>
      </c>
      <c r="L112" s="34" t="str">
        <f>_xlfn.IFNA(VLOOKUP(Table2[[#This Row],[tee time2]],'Classic day 2 - groups'!$A$3:$F$20,6,FALSE),"")</f>
        <v/>
      </c>
      <c r="M112" s="4" t="str">
        <f>_xlfn.IFNA(VLOOKUP(Table2[[#This Row],[tee time2]],'Classic day 2 - groups'!$A$3:$F$20,4,FALSE),"")</f>
        <v/>
      </c>
      <c r="N112" s="65" t="str">
        <f>_xlfn.IFNA(VLOOKUP(Table2[[#This Row],[tee time2]],'Classic day 2 - groups'!$A$3:$F$20,5,FALSE),"")</f>
        <v/>
      </c>
      <c r="O112" s="69" t="str">
        <f>IFERROR((MAX(starting_interval,IF(Table2[[#This Row],[gap2]]="NA",Table2[[#This Row],[avg gap]],Table2[[#This Row],[gap2]]))-starting_interval)*Table2[[#This Row],[followers2]]/Table2[[#This Row],[group size2]],"")</f>
        <v/>
      </c>
      <c r="P112" s="66" t="str">
        <f>_xlfn.IFNA(VLOOKUP(Table2[[#This Row],[Name]],'Summer FD - players'!$A$2:$B$65,2,FALSE),"")</f>
        <v/>
      </c>
      <c r="Q112" s="60" t="str">
        <f>IF(Table2[[#This Row],[tee time3]]&lt;&gt;"",COUNTIF('Summer FD - players'!$B$2:$B$65,"="&amp;Table2[[#This Row],[tee time3]]),"")</f>
        <v/>
      </c>
      <c r="R112" s="60" t="str">
        <f>_xlfn.IFNA(VLOOKUP(Table2[[#This Row],[tee time3]],'Summer FD - groups'!$A$3:$F$20,6,FALSE),"")</f>
        <v/>
      </c>
      <c r="S112" s="3" t="str">
        <f>_xlfn.IFNA(VLOOKUP(Table2[[#This Row],[tee time3]],'Summer FD - groups'!$A$3:$F$20,4,FALSE),"")</f>
        <v/>
      </c>
      <c r="T112" s="65" t="str">
        <f>_xlfn.IFNA(VLOOKUP(Table2[[#This Row],[tee time3]],'Summer FD - groups'!$A$3:$F$20,5,FALSE),"")</f>
        <v/>
      </c>
      <c r="U112" s="69" t="str">
        <f>IF(Table2[[#This Row],[avg gap]]&lt;&gt;"",IFERROR((MAX(starting_interval,IF(Table2[[#This Row],[gap3]]="NA",Table2[[#This Row],[avg gap]],Table2[[#This Row],[gap3]]))-starting_interval)*Table2[[#This Row],[followers3]]/Table2[[#This Row],[group size3]],""),"")</f>
        <v/>
      </c>
      <c r="V112" s="32">
        <f>_xlfn.IFNA(VLOOKUP(Table2[[#This Row],[Name]],'6-6-6 - players'!$A$2:$B$69,2,FALSE),"")</f>
        <v>0.33333333333333331</v>
      </c>
      <c r="W112" s="60">
        <f>IF(Table2[[#This Row],[tee time4]]&lt;&gt;"",COUNTIF('6-6-6 - players'!$B$2:$B$69,"="&amp;Table2[[#This Row],[tee time4]]),"")</f>
        <v>4</v>
      </c>
      <c r="X112" s="60">
        <f>_xlfn.IFNA(VLOOKUP(Table2[[#This Row],[tee time4]],'6-6-6 - groups'!$A$3:$F$20,6,FALSE),"")</f>
        <v>68</v>
      </c>
      <c r="Y112" s="4">
        <f>_xlfn.IFNA(VLOOKUP(Table2[[#This Row],[tee time4]],'6-6-6 - groups'!$A$3:$F$20,4,FALSE),"")</f>
        <v>0.17569444444444443</v>
      </c>
      <c r="Z112" s="13" t="str">
        <f>_xlfn.IFNA(VLOOKUP(Table2[[#This Row],[tee time4]],'6-6-6 - groups'!$A$3:$F$20,5,FALSE),"")</f>
        <v>NA</v>
      </c>
      <c r="AA112" s="69">
        <f>IF(Table2[[#This Row],[avg gap]]&lt;&gt;"",IFERROR((MAX(starting_interval,IF(Table2[[#This Row],[gap4]]="NA",Table2[[#This Row],[avg gap]],Table2[[#This Row],[gap4]]))-starting_interval)*Table2[[#This Row],[followers4]]/Table2[[#This Row],[group size4]],""),"")</f>
        <v>0</v>
      </c>
      <c r="AB112" s="32">
        <f>_xlfn.IFNA(VLOOKUP(Table2[[#This Row],[Name]],'Fall FD - players'!$A$2:$B$65,2,FALSE),"")</f>
        <v>0.38611111111111113</v>
      </c>
      <c r="AC112" s="60">
        <f>IF(Table2[[#This Row],[tee time5]]&lt;&gt;"",COUNTIF('Fall FD - players'!$B$2:$B$65,"="&amp;Table2[[#This Row],[tee time5]]),"")</f>
        <v>4</v>
      </c>
      <c r="AD112" s="60">
        <f>_xlfn.IFNA(VLOOKUP(Table2[[#This Row],[tee time5]],'Fall FD - groups'!$A$3:$F$20,6,FALSE),"")</f>
        <v>40</v>
      </c>
      <c r="AE112" s="4">
        <f>_xlfn.IFNA(VLOOKUP(Table2[[#This Row],[tee time5]],'Fall FD - groups'!$A$3:$F$20,4,FALSE),"")</f>
        <v>0.18055555555555552</v>
      </c>
      <c r="AF112" s="13">
        <f>IFERROR(MIN(_xlfn.IFNA(VLOOKUP(Table2[[#This Row],[tee time5]],'Fall FD - groups'!$A$3:$F$20,5,FALSE),""),starting_interval + Table2[[#This Row],[round5]] - standard_round_time),"")</f>
        <v>6.9444444444444198E-3</v>
      </c>
      <c r="AG112" s="69">
        <f>IF(AND(Table2[[#This Row],[gap5]]="NA",Table2[[#This Row],[round5]]&lt;4/24),0,IFERROR((MAX(starting_interval,IF(Table2[[#This Row],[gap5]]="NA",Table2[[#This Row],[avg gap]],Table2[[#This Row],[gap5]]))-starting_interval)*Table2[[#This Row],[followers5]]/Table2[[#This Row],[group size5]],""))</f>
        <v>0</v>
      </c>
      <c r="AH112" s="32" t="str">
        <f>_xlfn.IFNA(VLOOKUP(Table2[[#This Row],[Name]],'Stableford - players'!$A$2:$B$65,2,FALSE),"")</f>
        <v/>
      </c>
      <c r="AI112" s="60" t="str">
        <f>IF(Table2[[#This Row],[tee time6]]&lt;&gt;"",COUNTIF('Stableford - players'!$B$2:$B$65,"="&amp;Table2[[#This Row],[tee time6]]),"")</f>
        <v/>
      </c>
      <c r="AJ112" s="59" t="str">
        <f>_xlfn.IFNA(VLOOKUP(Table2[[#This Row],[tee time6]],'Stableford - groups'!$A$3:$F$20,6,FALSE),"")</f>
        <v/>
      </c>
      <c r="AK112" s="11" t="str">
        <f>_xlfn.IFNA(VLOOKUP(Table2[[#This Row],[tee time6]],'Stableford - groups'!$A$3:$F$20,4,FALSE),"")</f>
        <v/>
      </c>
      <c r="AL112" s="13" t="str">
        <f>_xlfn.IFNA(VLOOKUP(Table2[[#This Row],[tee time6]],'Stableford - groups'!$A$3:$F$20,5,FALSE),"")</f>
        <v/>
      </c>
      <c r="AM112" s="68" t="str">
        <f>IF(AND(Table2[[#This Row],[gap6]]="NA",Table2[[#This Row],[round6]]&lt;4/24),0,IFERROR((MAX(starting_interval,IF(Table2[[#This Row],[gap6]]="NA",Table2[[#This Row],[avg gap]],Table2[[#This Row],[gap6]]))-starting_interval)*Table2[[#This Row],[followers6]]/Table2[[#This Row],[group size6]],""))</f>
        <v/>
      </c>
      <c r="AN112" s="32" t="str">
        <f>_xlfn.IFNA(VLOOKUP(Table2[[#This Row],[Name]],'Turkey Shoot - players'!$A$2:$B$65,2,FALSE),"")</f>
        <v/>
      </c>
      <c r="AO112" s="59" t="str">
        <f>IF(Table2[[#This Row],[tee time7]]&lt;&gt;"",COUNTIF('Turkey Shoot - players'!$B$2:$B$65,"="&amp;Table2[[#This Row],[tee time7]]),"")</f>
        <v/>
      </c>
      <c r="AP112" s="59" t="str">
        <f>_xlfn.IFNA(VLOOKUP(Table2[[#This Row],[tee time7]],'Stableford - groups'!$A$3:$F$20,6,FALSE),"")</f>
        <v/>
      </c>
      <c r="AQ112" s="11" t="str">
        <f>_xlfn.IFNA(VLOOKUP(Table2[[#This Row],[tee time7]],'Turkey Shoot - groups'!$A$3:$F$20,4,FALSE),"")</f>
        <v/>
      </c>
      <c r="AR112" s="13" t="str">
        <f>_xlfn.IFNA(VLOOKUP(Table2[[#This Row],[tee time7]],'Turkey Shoot - groups'!$A$3:$F$20,5,FALSE),"")</f>
        <v/>
      </c>
      <c r="AS112" s="68" t="str">
        <f>IF(AND(Table2[[#This Row],[gap7]]="NA",Table2[[#This Row],[round7]]&lt;4/24),0,IFERROR((MAX(starting_interval,IF(Table2[[#This Row],[gap7]]="NA",Table2[[#This Row],[avg gap]],Table2[[#This Row],[gap7]]))-starting_interval)*Table2[[#This Row],[followers7]]/Table2[[#This Row],[group size7]],""))</f>
        <v/>
      </c>
      <c r="AT112" s="72">
        <f>COUNT(Table2[[#This Row],[Tee time1]],Table2[[#This Row],[tee time2]],Table2[[#This Row],[tee time3]],Table2[[#This Row],[tee time4]],Table2[[#This Row],[tee time5]],Table2[[#This Row],[tee time6]],Table2[[#This Row],[tee time7]])</f>
        <v>2</v>
      </c>
      <c r="AU112" s="4">
        <f>IFERROR(AVERAGE(Table2[[#This Row],[Tee time1]],Table2[[#This Row],[tee time2]],Table2[[#This Row],[tee time3]],Table2[[#This Row],[tee time4]],Table2[[#This Row],[tee time5]],Table2[[#This Row],[tee time6]],Table2[[#This Row],[tee time7]]),"")</f>
        <v>0.35972222222222222</v>
      </c>
      <c r="AV112" s="30">
        <f>IFERROR(MEDIAN(Table2[[#This Row],[round1]],Table2[[#This Row],[Round2]],Table2[[#This Row],[round3]],Table2[[#This Row],[round4]],Table2[[#This Row],[round5]],Table2[[#This Row],[round6]],Table2[[#This Row],[round7]]),"")</f>
        <v>0.17812499999999998</v>
      </c>
      <c r="AW112" s="30">
        <f>IFERROR(AVERAGE(Table2[[#This Row],[gap1]],Table2[[#This Row],[gap2]],Table2[[#This Row],[gap3]],Table2[[#This Row],[gap4]],Table2[[#This Row],[gap5]],Table2[[#This Row],[gap6]],Table2[[#This Row],[gap7]]),"")</f>
        <v>6.9444444444444198E-3</v>
      </c>
      <c r="AX112" s="9">
        <f>IFERROR((Table2[[#This Row],[avg gap]]-starting_interval)*24*60*Table2[[#This Row],[Count]],"NA")</f>
        <v>-6.9944050551384862E-14</v>
      </c>
      <c r="AY11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12" s="2"/>
    </row>
    <row r="113" spans="1:52" x14ac:dyDescent="0.3">
      <c r="A113" s="10" t="s">
        <v>18</v>
      </c>
      <c r="B113" s="1" t="s">
        <v>256</v>
      </c>
      <c r="C113" s="19">
        <v>19.7</v>
      </c>
      <c r="D113" s="32" t="str">
        <f>_xlfn.IFNA(VLOOKUP(Table2[[#This Row],[Name]],'Classic day 1 - players'!$A$2:$B$64,2,FALSE),"")</f>
        <v/>
      </c>
      <c r="E113" s="33" t="str">
        <f>IF(Table2[[#This Row],[Tee time1]]&lt;&gt;"",COUNTIF('Classic day 1 - players'!$B$2:$B$64,"="&amp;Table2[[#This Row],[Tee time1]]),"")</f>
        <v/>
      </c>
      <c r="F113" s="33" t="str">
        <f>_xlfn.IFNA(VLOOKUP(Table2[[#This Row],[Tee time1]],'Classic day 1 - groups'!$A$3:$F$20,6,FALSE),"")</f>
        <v/>
      </c>
      <c r="G113" s="11" t="str">
        <f>_xlfn.IFNA(VLOOKUP(Table2[[#This Row],[Tee time1]],'Classic day 1 - groups'!$A$3:$F$20,4,FALSE),"")</f>
        <v/>
      </c>
      <c r="H113" s="12" t="str">
        <f>_xlfn.IFNA(VLOOKUP(Table2[[#This Row],[Tee time1]],'Classic day 1 - groups'!$A$3:$F$20,5,FALSE),"")</f>
        <v/>
      </c>
      <c r="I113" s="69" t="str">
        <f>IFERROR((MAX(starting_interval,IF(Table2[[#This Row],[gap1]]="NA",Table2[[#This Row],[avg gap]],Table2[[#This Row],[gap1]]))-starting_interval)*Table2[[#This Row],[followers1]]/Table2[[#This Row],[group size]],"")</f>
        <v/>
      </c>
      <c r="J113" s="32" t="str">
        <f>_xlfn.IFNA(VLOOKUP(Table2[[#This Row],[Name]],'Classic day 2 - players'!$A$2:$B$64,2,FALSE),"")</f>
        <v/>
      </c>
      <c r="K113" s="33" t="str">
        <f>IF(Table2[[#This Row],[tee time2]]&lt;&gt;"",COUNTIF('Classic day 2 - players'!$B$2:$B$64,"="&amp;Table2[[#This Row],[tee time2]]),"")</f>
        <v/>
      </c>
      <c r="L113" s="33" t="str">
        <f>_xlfn.IFNA(VLOOKUP(Table2[[#This Row],[tee time2]],'Classic day 2 - groups'!$A$3:$F$20,6,FALSE),"")</f>
        <v/>
      </c>
      <c r="M113" s="4" t="str">
        <f>_xlfn.IFNA(VLOOKUP(Table2[[#This Row],[tee time2]],'Classic day 2 - groups'!$A$3:$F$20,4,FALSE),"")</f>
        <v/>
      </c>
      <c r="N113" s="65" t="str">
        <f>_xlfn.IFNA(VLOOKUP(Table2[[#This Row],[tee time2]],'Classic day 2 - groups'!$A$3:$F$20,5,FALSE),"")</f>
        <v/>
      </c>
      <c r="O113" s="69" t="str">
        <f>IFERROR((MAX(starting_interval,IF(Table2[[#This Row],[gap2]]="NA",Table2[[#This Row],[avg gap]],Table2[[#This Row],[gap2]]))-starting_interval)*Table2[[#This Row],[followers2]]/Table2[[#This Row],[group size2]],"")</f>
        <v/>
      </c>
      <c r="P113" s="32">
        <f>_xlfn.IFNA(VLOOKUP(Table2[[#This Row],[Name]],'Summer FD - players'!$A$2:$B$65,2,FALSE),"")</f>
        <v>0.41944444444444445</v>
      </c>
      <c r="Q113" s="59">
        <f>IF(Table2[[#This Row],[tee time3]]&lt;&gt;"",COUNTIF('Summer FD - players'!$B$2:$B$65,"="&amp;Table2[[#This Row],[tee time3]]),"")</f>
        <v>4</v>
      </c>
      <c r="R113" s="59">
        <f>_xlfn.IFNA(VLOOKUP(Table2[[#This Row],[tee time3]],'Summer FD - groups'!$A$3:$F$20,6,FALSE),"")</f>
        <v>12</v>
      </c>
      <c r="S113" s="4">
        <f>_xlfn.IFNA(VLOOKUP(Table2[[#This Row],[tee time3]],'Summer FD - groups'!$A$3:$F$20,4,FALSE),"")</f>
        <v>0.19513888888888892</v>
      </c>
      <c r="T113" s="13">
        <f>_xlfn.IFNA(VLOOKUP(Table2[[#This Row],[tee time3]],'Summer FD - groups'!$A$3:$F$20,5,FALSE),"")</f>
        <v>5.5555555555555358E-3</v>
      </c>
      <c r="U113" s="69">
        <f>IF(Table2[[#This Row],[avg gap]]&lt;&gt;"",IFERROR((MAX(starting_interval,IF(Table2[[#This Row],[gap3]]="NA",Table2[[#This Row],[avg gap]],Table2[[#This Row],[gap3]]))-starting_interval)*Table2[[#This Row],[followers3]]/Table2[[#This Row],[group size3]],""),"")</f>
        <v>0</v>
      </c>
      <c r="V113" s="32" t="str">
        <f>_xlfn.IFNA(VLOOKUP(Table2[[#This Row],[Name]],'6-6-6 - players'!$A$2:$B$69,2,FALSE),"")</f>
        <v/>
      </c>
      <c r="W113" s="59" t="str">
        <f>IF(Table2[[#This Row],[tee time4]]&lt;&gt;"",COUNTIF('6-6-6 - players'!$B$2:$B$69,"="&amp;Table2[[#This Row],[tee time4]]),"")</f>
        <v/>
      </c>
      <c r="X113" s="59" t="str">
        <f>_xlfn.IFNA(VLOOKUP(Table2[[#This Row],[tee time4]],'6-6-6 - groups'!$A$3:$F$20,6,FALSE),"")</f>
        <v/>
      </c>
      <c r="Y113" s="4" t="str">
        <f>_xlfn.IFNA(VLOOKUP(Table2[[#This Row],[tee time4]],'6-6-6 - groups'!$A$3:$F$20,4,FALSE),"")</f>
        <v/>
      </c>
      <c r="Z113" s="13" t="str">
        <f>_xlfn.IFNA(VLOOKUP(Table2[[#This Row],[tee time4]],'6-6-6 - groups'!$A$3:$F$20,5,FALSE),"")</f>
        <v/>
      </c>
      <c r="AA113" s="69" t="str">
        <f>IF(Table2[[#This Row],[avg gap]]&lt;&gt;"",IFERROR((MAX(starting_interval,IF(Table2[[#This Row],[gap4]]="NA",Table2[[#This Row],[avg gap]],Table2[[#This Row],[gap4]]))-starting_interval)*Table2[[#This Row],[followers4]]/Table2[[#This Row],[group size4]],""),"")</f>
        <v/>
      </c>
      <c r="AB113" s="32">
        <f>_xlfn.IFNA(VLOOKUP(Table2[[#This Row],[Name]],'Fall FD - players'!$A$2:$B$65,2,FALSE),"")</f>
        <v>0.45555555555555555</v>
      </c>
      <c r="AC113" s="59">
        <f>IF(Table2[[#This Row],[tee time5]]&lt;&gt;"",COUNTIF('Fall FD - players'!$B$2:$B$65,"="&amp;Table2[[#This Row],[tee time5]]),"")</f>
        <v>4</v>
      </c>
      <c r="AD113" s="59">
        <f>_xlfn.IFNA(VLOOKUP(Table2[[#This Row],[tee time5]],'Fall FD - groups'!$A$3:$F$20,6,FALSE),"")</f>
        <v>0</v>
      </c>
      <c r="AE113" s="4">
        <f>_xlfn.IFNA(VLOOKUP(Table2[[#This Row],[tee time5]],'Fall FD - groups'!$A$3:$F$20,4,FALSE),"")</f>
        <v>0.17777777777777776</v>
      </c>
      <c r="AF113" s="13">
        <f>IFERROR(MIN(_xlfn.IFNA(VLOOKUP(Table2[[#This Row],[tee time5]],'Fall FD - groups'!$A$3:$F$20,5,FALSE),""),starting_interval + Table2[[#This Row],[round5]] - standard_round_time),"")</f>
        <v>8.3333333333333037E-3</v>
      </c>
      <c r="AG113" s="69">
        <f>IF(AND(Table2[[#This Row],[gap5]]="NA",Table2[[#This Row],[round5]]&lt;4/24),0,IFERROR((MAX(starting_interval,IF(Table2[[#This Row],[gap5]]="NA",Table2[[#This Row],[avg gap]],Table2[[#This Row],[gap5]]))-starting_interval)*Table2[[#This Row],[followers5]]/Table2[[#This Row],[group size5]],""))</f>
        <v>0</v>
      </c>
      <c r="AH113" s="32" t="str">
        <f>_xlfn.IFNA(VLOOKUP(Table2[[#This Row],[Name]],'Stableford - players'!$A$2:$B$65,2,FALSE),"")</f>
        <v/>
      </c>
      <c r="AI113" s="59" t="str">
        <f>IF(Table2[[#This Row],[tee time6]]&lt;&gt;"",COUNTIF('Stableford - players'!$B$2:$B$65,"="&amp;Table2[[#This Row],[tee time6]]),"")</f>
        <v/>
      </c>
      <c r="AJ113" s="59" t="str">
        <f>_xlfn.IFNA(VLOOKUP(Table2[[#This Row],[tee time6]],'Stableford - groups'!$A$3:$F$20,6,FALSE),"")</f>
        <v/>
      </c>
      <c r="AK113" s="11" t="str">
        <f>_xlfn.IFNA(VLOOKUP(Table2[[#This Row],[tee time6]],'Stableford - groups'!$A$3:$F$20,4,FALSE),"")</f>
        <v/>
      </c>
      <c r="AL113" s="13" t="str">
        <f>_xlfn.IFNA(VLOOKUP(Table2[[#This Row],[tee time6]],'Stableford - groups'!$A$3:$F$20,5,FALSE),"")</f>
        <v/>
      </c>
      <c r="AM113" s="68" t="str">
        <f>IF(AND(Table2[[#This Row],[gap6]]="NA",Table2[[#This Row],[round6]]&lt;4/24),0,IFERROR((MAX(starting_interval,IF(Table2[[#This Row],[gap6]]="NA",Table2[[#This Row],[avg gap]],Table2[[#This Row],[gap6]]))-starting_interval)*Table2[[#This Row],[followers6]]/Table2[[#This Row],[group size6]],""))</f>
        <v/>
      </c>
      <c r="AN113" s="32" t="str">
        <f>_xlfn.IFNA(VLOOKUP(Table2[[#This Row],[Name]],'Turkey Shoot - players'!$A$2:$B$65,2,FALSE),"")</f>
        <v/>
      </c>
      <c r="AO113" s="59" t="str">
        <f>IF(Table2[[#This Row],[tee time7]]&lt;&gt;"",COUNTIF('Turkey Shoot - players'!$B$2:$B$65,"="&amp;Table2[[#This Row],[tee time7]]),"")</f>
        <v/>
      </c>
      <c r="AP113" s="59" t="str">
        <f>_xlfn.IFNA(VLOOKUP(Table2[[#This Row],[tee time7]],'Stableford - groups'!$A$3:$F$20,6,FALSE),"")</f>
        <v/>
      </c>
      <c r="AQ113" s="11" t="str">
        <f>_xlfn.IFNA(VLOOKUP(Table2[[#This Row],[tee time7]],'Turkey Shoot - groups'!$A$3:$F$20,4,FALSE),"")</f>
        <v/>
      </c>
      <c r="AR113" s="13" t="str">
        <f>_xlfn.IFNA(VLOOKUP(Table2[[#This Row],[tee time7]],'Turkey Shoot - groups'!$A$3:$F$20,5,FALSE),"")</f>
        <v/>
      </c>
      <c r="AS113" s="68" t="str">
        <f>IF(AND(Table2[[#This Row],[gap7]]="NA",Table2[[#This Row],[round7]]&lt;4/24),0,IFERROR((MAX(starting_interval,IF(Table2[[#This Row],[gap7]]="NA",Table2[[#This Row],[avg gap]],Table2[[#This Row],[gap7]]))-starting_interval)*Table2[[#This Row],[followers7]]/Table2[[#This Row],[group size7]],""))</f>
        <v/>
      </c>
      <c r="AT113" s="72">
        <f>COUNT(Table2[[#This Row],[Tee time1]],Table2[[#This Row],[tee time2]],Table2[[#This Row],[tee time3]],Table2[[#This Row],[tee time4]],Table2[[#This Row],[tee time5]],Table2[[#This Row],[tee time6]],Table2[[#This Row],[tee time7]])</f>
        <v>2</v>
      </c>
      <c r="AU113" s="4">
        <f>IFERROR(AVERAGE(Table2[[#This Row],[Tee time1]],Table2[[#This Row],[tee time2]],Table2[[#This Row],[tee time3]],Table2[[#This Row],[tee time4]],Table2[[#This Row],[tee time5]],Table2[[#This Row],[tee time6]],Table2[[#This Row],[tee time7]]),"")</f>
        <v>0.4375</v>
      </c>
      <c r="AV113" s="11">
        <f>IFERROR(MEDIAN(Table2[[#This Row],[round1]],Table2[[#This Row],[Round2]],Table2[[#This Row],[round3]],Table2[[#This Row],[round4]],Table2[[#This Row],[round5]],Table2[[#This Row],[round6]],Table2[[#This Row],[round7]]),"")</f>
        <v>0.18645833333333334</v>
      </c>
      <c r="AW113" s="11">
        <f>IFERROR(AVERAGE(Table2[[#This Row],[gap1]],Table2[[#This Row],[gap2]],Table2[[#This Row],[gap3]],Table2[[#This Row],[gap4]],Table2[[#This Row],[gap5]],Table2[[#This Row],[gap6]],Table2[[#This Row],[gap7]]),"")</f>
        <v>6.9444444444444198E-3</v>
      </c>
      <c r="AX113" s="9">
        <f>IFERROR((Table2[[#This Row],[avg gap]]-starting_interval)*24*60*Table2[[#This Row],[Count]],"NA")</f>
        <v>-6.9944050551384862E-14</v>
      </c>
      <c r="AY11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13" s="2"/>
    </row>
    <row r="114" spans="1:52" x14ac:dyDescent="0.3">
      <c r="A114" s="10" t="s">
        <v>43</v>
      </c>
      <c r="B114" s="1" t="s">
        <v>281</v>
      </c>
      <c r="C114" s="19">
        <v>10.199999999999999</v>
      </c>
      <c r="D114" s="32" t="str">
        <f>_xlfn.IFNA(VLOOKUP(Table2[[#This Row],[Name]],'Classic day 1 - players'!$A$2:$B$64,2,FALSE),"")</f>
        <v/>
      </c>
      <c r="E114" s="33" t="str">
        <f>IF(Table2[[#This Row],[Tee time1]]&lt;&gt;"",COUNTIF('Classic day 1 - players'!$B$2:$B$64,"="&amp;Table2[[#This Row],[Tee time1]]),"")</f>
        <v/>
      </c>
      <c r="F114" s="33" t="str">
        <f>_xlfn.IFNA(VLOOKUP(Table2[[#This Row],[Tee time1]],'Classic day 1 - groups'!$A$3:$F$20,6,FALSE),"")</f>
        <v/>
      </c>
      <c r="G114" s="11" t="str">
        <f>_xlfn.IFNA(VLOOKUP(Table2[[#This Row],[Tee time1]],'Classic day 1 - groups'!$A$3:$F$20,4,FALSE),"")</f>
        <v/>
      </c>
      <c r="H114" s="12" t="str">
        <f>_xlfn.IFNA(VLOOKUP(Table2[[#This Row],[Tee time1]],'Classic day 1 - groups'!$A$3:$F$20,5,FALSE),"")</f>
        <v/>
      </c>
      <c r="I114" s="69" t="str">
        <f>IFERROR((MAX(starting_interval,IF(Table2[[#This Row],[gap1]]="NA",Table2[[#This Row],[avg gap]],Table2[[#This Row],[gap1]]))-starting_interval)*Table2[[#This Row],[followers1]]/Table2[[#This Row],[group size]],"")</f>
        <v/>
      </c>
      <c r="J114" s="32" t="str">
        <f>_xlfn.IFNA(VLOOKUP(Table2[[#This Row],[Name]],'Classic day 2 - players'!$A$2:$B$64,2,FALSE),"")</f>
        <v/>
      </c>
      <c r="K114" s="33" t="str">
        <f>IF(Table2[[#This Row],[tee time2]]&lt;&gt;"",COUNTIF('Classic day 2 - players'!$B$2:$B$64,"="&amp;Table2[[#This Row],[tee time2]]),"")</f>
        <v/>
      </c>
      <c r="L114" s="33" t="str">
        <f>_xlfn.IFNA(VLOOKUP(Table2[[#This Row],[tee time2]],'Classic day 2 - groups'!$A$3:$F$20,6,FALSE),"")</f>
        <v/>
      </c>
      <c r="M114" s="4" t="str">
        <f>_xlfn.IFNA(VLOOKUP(Table2[[#This Row],[tee time2]],'Classic day 2 - groups'!$A$3:$F$20,4,FALSE),"")</f>
        <v/>
      </c>
      <c r="N114" s="65" t="str">
        <f>_xlfn.IFNA(VLOOKUP(Table2[[#This Row],[tee time2]],'Classic day 2 - groups'!$A$3:$F$20,5,FALSE),"")</f>
        <v/>
      </c>
      <c r="O114" s="69" t="str">
        <f>IFERROR((MAX(starting_interval,IF(Table2[[#This Row],[gap2]]="NA",Table2[[#This Row],[avg gap]],Table2[[#This Row],[gap2]]))-starting_interval)*Table2[[#This Row],[followers2]]/Table2[[#This Row],[group size2]],"")</f>
        <v/>
      </c>
      <c r="P114" s="32">
        <f>_xlfn.IFNA(VLOOKUP(Table2[[#This Row],[Name]],'Summer FD - players'!$A$2:$B$65,2,FALSE),"")</f>
        <v>0.41944444444444445</v>
      </c>
      <c r="Q114" s="59">
        <f>IF(Table2[[#This Row],[tee time3]]&lt;&gt;"",COUNTIF('Summer FD - players'!$B$2:$B$65,"="&amp;Table2[[#This Row],[tee time3]]),"")</f>
        <v>4</v>
      </c>
      <c r="R114" s="59">
        <f>_xlfn.IFNA(VLOOKUP(Table2[[#This Row],[tee time3]],'Summer FD - groups'!$A$3:$F$20,6,FALSE),"")</f>
        <v>12</v>
      </c>
      <c r="S114" s="4">
        <f>_xlfn.IFNA(VLOOKUP(Table2[[#This Row],[tee time3]],'Summer FD - groups'!$A$3:$F$20,4,FALSE),"")</f>
        <v>0.19513888888888892</v>
      </c>
      <c r="T114" s="13">
        <f>_xlfn.IFNA(VLOOKUP(Table2[[#This Row],[tee time3]],'Summer FD - groups'!$A$3:$F$20,5,FALSE),"")</f>
        <v>5.5555555555555358E-3</v>
      </c>
      <c r="U114" s="69">
        <f>IF(Table2[[#This Row],[avg gap]]&lt;&gt;"",IFERROR((MAX(starting_interval,IF(Table2[[#This Row],[gap3]]="NA",Table2[[#This Row],[avg gap]],Table2[[#This Row],[gap3]]))-starting_interval)*Table2[[#This Row],[followers3]]/Table2[[#This Row],[group size3]],""),"")</f>
        <v>0</v>
      </c>
      <c r="V114" s="32" t="str">
        <f>_xlfn.IFNA(VLOOKUP(Table2[[#This Row],[Name]],'6-6-6 - players'!$A$2:$B$69,2,FALSE),"")</f>
        <v/>
      </c>
      <c r="W114" s="59" t="str">
        <f>IF(Table2[[#This Row],[tee time4]]&lt;&gt;"",COUNTIF('6-6-6 - players'!$B$2:$B$69,"="&amp;Table2[[#This Row],[tee time4]]),"")</f>
        <v/>
      </c>
      <c r="X114" s="59" t="str">
        <f>_xlfn.IFNA(VLOOKUP(Table2[[#This Row],[tee time4]],'6-6-6 - groups'!$A$3:$F$20,6,FALSE),"")</f>
        <v/>
      </c>
      <c r="Y114" s="4" t="str">
        <f>_xlfn.IFNA(VLOOKUP(Table2[[#This Row],[tee time4]],'6-6-6 - groups'!$A$3:$F$20,4,FALSE),"")</f>
        <v/>
      </c>
      <c r="Z114" s="13" t="str">
        <f>_xlfn.IFNA(VLOOKUP(Table2[[#This Row],[tee time4]],'6-6-6 - groups'!$A$3:$F$20,5,FALSE),"")</f>
        <v/>
      </c>
      <c r="AA114" s="69" t="str">
        <f>IF(Table2[[#This Row],[avg gap]]&lt;&gt;"",IFERROR((MAX(starting_interval,IF(Table2[[#This Row],[gap4]]="NA",Table2[[#This Row],[avg gap]],Table2[[#This Row],[gap4]]))-starting_interval)*Table2[[#This Row],[followers4]]/Table2[[#This Row],[group size4]],""),"")</f>
        <v/>
      </c>
      <c r="AB114" s="32">
        <f>_xlfn.IFNA(VLOOKUP(Table2[[#This Row],[Name]],'Fall FD - players'!$A$2:$B$65,2,FALSE),"")</f>
        <v>0.45555555555555555</v>
      </c>
      <c r="AC114" s="59">
        <f>IF(Table2[[#This Row],[tee time5]]&lt;&gt;"",COUNTIF('Fall FD - players'!$B$2:$B$65,"="&amp;Table2[[#This Row],[tee time5]]),"")</f>
        <v>4</v>
      </c>
      <c r="AD114" s="59">
        <f>_xlfn.IFNA(VLOOKUP(Table2[[#This Row],[tee time5]],'Fall FD - groups'!$A$3:$F$20,6,FALSE),"")</f>
        <v>0</v>
      </c>
      <c r="AE114" s="4">
        <f>_xlfn.IFNA(VLOOKUP(Table2[[#This Row],[tee time5]],'Fall FD - groups'!$A$3:$F$20,4,FALSE),"")</f>
        <v>0.17777777777777776</v>
      </c>
      <c r="AF114" s="13">
        <f>IFERROR(MIN(_xlfn.IFNA(VLOOKUP(Table2[[#This Row],[tee time5]],'Fall FD - groups'!$A$3:$F$20,5,FALSE),""),starting_interval + Table2[[#This Row],[round5]] - standard_round_time),"")</f>
        <v>8.3333333333333037E-3</v>
      </c>
      <c r="AG114" s="69">
        <f>IF(AND(Table2[[#This Row],[gap5]]="NA",Table2[[#This Row],[round5]]&lt;4/24),0,IFERROR((MAX(starting_interval,IF(Table2[[#This Row],[gap5]]="NA",Table2[[#This Row],[avg gap]],Table2[[#This Row],[gap5]]))-starting_interval)*Table2[[#This Row],[followers5]]/Table2[[#This Row],[group size5]],""))</f>
        <v>0</v>
      </c>
      <c r="AH114" s="32" t="str">
        <f>_xlfn.IFNA(VLOOKUP(Table2[[#This Row],[Name]],'Stableford - players'!$A$2:$B$65,2,FALSE),"")</f>
        <v/>
      </c>
      <c r="AI114" s="59" t="str">
        <f>IF(Table2[[#This Row],[tee time6]]&lt;&gt;"",COUNTIF('Stableford - players'!$B$2:$B$65,"="&amp;Table2[[#This Row],[tee time6]]),"")</f>
        <v/>
      </c>
      <c r="AJ114" s="59" t="str">
        <f>_xlfn.IFNA(VLOOKUP(Table2[[#This Row],[tee time6]],'Stableford - groups'!$A$3:$F$20,6,FALSE),"")</f>
        <v/>
      </c>
      <c r="AK114" s="11" t="str">
        <f>_xlfn.IFNA(VLOOKUP(Table2[[#This Row],[tee time6]],'Stableford - groups'!$A$3:$F$20,4,FALSE),"")</f>
        <v/>
      </c>
      <c r="AL114" s="13" t="str">
        <f>_xlfn.IFNA(VLOOKUP(Table2[[#This Row],[tee time6]],'Stableford - groups'!$A$3:$F$20,5,FALSE),"")</f>
        <v/>
      </c>
      <c r="AM114" s="68" t="str">
        <f>IF(AND(Table2[[#This Row],[gap6]]="NA",Table2[[#This Row],[round6]]&lt;4/24),0,IFERROR((MAX(starting_interval,IF(Table2[[#This Row],[gap6]]="NA",Table2[[#This Row],[avg gap]],Table2[[#This Row],[gap6]]))-starting_interval)*Table2[[#This Row],[followers6]]/Table2[[#This Row],[group size6]],""))</f>
        <v/>
      </c>
      <c r="AN114" s="32" t="str">
        <f>_xlfn.IFNA(VLOOKUP(Table2[[#This Row],[Name]],'Turkey Shoot - players'!$A$2:$B$65,2,FALSE),"")</f>
        <v/>
      </c>
      <c r="AO114" s="59" t="str">
        <f>IF(Table2[[#This Row],[tee time7]]&lt;&gt;"",COUNTIF('Turkey Shoot - players'!$B$2:$B$65,"="&amp;Table2[[#This Row],[tee time7]]),"")</f>
        <v/>
      </c>
      <c r="AP114" s="59" t="str">
        <f>_xlfn.IFNA(VLOOKUP(Table2[[#This Row],[tee time7]],'Stableford - groups'!$A$3:$F$20,6,FALSE),"")</f>
        <v/>
      </c>
      <c r="AQ114" s="11" t="str">
        <f>_xlfn.IFNA(VLOOKUP(Table2[[#This Row],[tee time7]],'Turkey Shoot - groups'!$A$3:$F$20,4,FALSE),"")</f>
        <v/>
      </c>
      <c r="AR114" s="13" t="str">
        <f>_xlfn.IFNA(VLOOKUP(Table2[[#This Row],[tee time7]],'Turkey Shoot - groups'!$A$3:$F$20,5,FALSE),"")</f>
        <v/>
      </c>
      <c r="AS114" s="68" t="str">
        <f>IF(AND(Table2[[#This Row],[gap7]]="NA",Table2[[#This Row],[round7]]&lt;4/24),0,IFERROR((MAX(starting_interval,IF(Table2[[#This Row],[gap7]]="NA",Table2[[#This Row],[avg gap]],Table2[[#This Row],[gap7]]))-starting_interval)*Table2[[#This Row],[followers7]]/Table2[[#This Row],[group size7]],""))</f>
        <v/>
      </c>
      <c r="AT114" s="72">
        <f>COUNT(Table2[[#This Row],[Tee time1]],Table2[[#This Row],[tee time2]],Table2[[#This Row],[tee time3]],Table2[[#This Row],[tee time4]],Table2[[#This Row],[tee time5]],Table2[[#This Row],[tee time6]],Table2[[#This Row],[tee time7]])</f>
        <v>2</v>
      </c>
      <c r="AU114" s="4">
        <f>IFERROR(AVERAGE(Table2[[#This Row],[Tee time1]],Table2[[#This Row],[tee time2]],Table2[[#This Row],[tee time3]],Table2[[#This Row],[tee time4]],Table2[[#This Row],[tee time5]],Table2[[#This Row],[tee time6]],Table2[[#This Row],[tee time7]]),"")</f>
        <v>0.4375</v>
      </c>
      <c r="AV114" s="11">
        <f>IFERROR(MEDIAN(Table2[[#This Row],[round1]],Table2[[#This Row],[Round2]],Table2[[#This Row],[round3]],Table2[[#This Row],[round4]],Table2[[#This Row],[round5]],Table2[[#This Row],[round6]],Table2[[#This Row],[round7]]),"")</f>
        <v>0.18645833333333334</v>
      </c>
      <c r="AW114" s="11">
        <f>IFERROR(AVERAGE(Table2[[#This Row],[gap1]],Table2[[#This Row],[gap2]],Table2[[#This Row],[gap3]],Table2[[#This Row],[gap4]],Table2[[#This Row],[gap5]],Table2[[#This Row],[gap6]],Table2[[#This Row],[gap7]]),"")</f>
        <v>6.9444444444444198E-3</v>
      </c>
      <c r="AX114" s="9">
        <f>IFERROR((Table2[[#This Row],[avg gap]]-starting_interval)*24*60*Table2[[#This Row],[Count]],"NA")</f>
        <v>-6.9944050551384862E-14</v>
      </c>
      <c r="AY11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14" s="2"/>
    </row>
    <row r="115" spans="1:52" x14ac:dyDescent="0.3">
      <c r="A115" s="10" t="s">
        <v>494</v>
      </c>
      <c r="B115" s="28"/>
      <c r="C115" s="29">
        <v>13.9</v>
      </c>
      <c r="D115" s="63" t="str">
        <f>_xlfn.IFNA(VLOOKUP(Table2[[#This Row],[Name]],'Classic day 1 - players'!$A$2:$B$64,2,FALSE),"")</f>
        <v/>
      </c>
      <c r="E115" s="34" t="str">
        <f>IF(Table2[[#This Row],[Tee time1]]&lt;&gt;"",COUNTIF('Classic day 1 - players'!$B$2:$B$64,"="&amp;Table2[[#This Row],[Tee time1]]),"")</f>
        <v/>
      </c>
      <c r="F115" s="34" t="str">
        <f>_xlfn.IFNA(VLOOKUP(Table2[[#This Row],[Tee time1]],'Classic day 1 - groups'!$A$3:$F$20,6,FALSE),"")</f>
        <v/>
      </c>
      <c r="G115" s="30" t="str">
        <f>_xlfn.IFNA(VLOOKUP(Table2[[#This Row],[Tee time1]],'Classic day 1 - groups'!$A$3:$F$20,4,FALSE),"")</f>
        <v/>
      </c>
      <c r="H115" s="64" t="str">
        <f>_xlfn.IFNA(VLOOKUP(Table2[[#This Row],[Tee time1]],'Classic day 1 - groups'!$A$3:$F$20,5,FALSE),"")</f>
        <v/>
      </c>
      <c r="I115" s="69" t="str">
        <f>IFERROR((MAX(starting_interval,IF(Table2[[#This Row],[gap1]]="NA",Table2[[#This Row],[avg gap]],Table2[[#This Row],[gap1]]))-starting_interval)*Table2[[#This Row],[followers1]]/Table2[[#This Row],[group size]],"")</f>
        <v/>
      </c>
      <c r="J115" s="32" t="str">
        <f>_xlfn.IFNA(VLOOKUP(Table2[[#This Row],[Name]],'Classic day 2 - players'!$A$2:$B$64,2,FALSE),"")</f>
        <v/>
      </c>
      <c r="K115" s="33" t="str">
        <f>IF(Table2[[#This Row],[tee time2]]&lt;&gt;"",COUNTIF('Classic day 2 - players'!$B$2:$B$64,"="&amp;Table2[[#This Row],[tee time2]]),"")</f>
        <v/>
      </c>
      <c r="L115" s="33" t="str">
        <f>_xlfn.IFNA(VLOOKUP(Table2[[#This Row],[tee time2]],'Classic day 2 - groups'!$A$3:$F$20,6,FALSE),"")</f>
        <v/>
      </c>
      <c r="M115" s="4" t="str">
        <f>_xlfn.IFNA(VLOOKUP(Table2[[#This Row],[tee time2]],'Classic day 2 - groups'!$A$3:$F$20,4,FALSE),"")</f>
        <v/>
      </c>
      <c r="N115" s="65" t="str">
        <f>_xlfn.IFNA(VLOOKUP(Table2[[#This Row],[tee time2]],'Classic day 2 - groups'!$A$3:$F$20,5,FALSE),"")</f>
        <v/>
      </c>
      <c r="O115" s="69" t="str">
        <f>IFERROR((MAX(starting_interval,IF(Table2[[#This Row],[gap2]]="NA",Table2[[#This Row],[avg gap]],Table2[[#This Row],[gap2]]))-starting_interval)*Table2[[#This Row],[followers2]]/Table2[[#This Row],[group size2]],"")</f>
        <v/>
      </c>
      <c r="P115" s="66" t="str">
        <f>_xlfn.IFNA(VLOOKUP(Table2[[#This Row],[Name]],'Summer FD - players'!$A$2:$B$65,2,FALSE),"")</f>
        <v/>
      </c>
      <c r="Q115" s="60" t="str">
        <f>IF(Table2[[#This Row],[tee time3]]&lt;&gt;"",COUNTIF('Summer FD - players'!$B$2:$B$65,"="&amp;Table2[[#This Row],[tee time3]]),"")</f>
        <v/>
      </c>
      <c r="R115" s="60" t="str">
        <f>_xlfn.IFNA(VLOOKUP(Table2[[#This Row],[tee time3]],'Summer FD - groups'!$A$3:$F$20,6,FALSE),"")</f>
        <v/>
      </c>
      <c r="S115" s="3" t="str">
        <f>_xlfn.IFNA(VLOOKUP(Table2[[#This Row],[tee time3]],'Summer FD - groups'!$A$3:$F$20,4,FALSE),"")</f>
        <v/>
      </c>
      <c r="T115" s="65" t="str">
        <f>_xlfn.IFNA(VLOOKUP(Table2[[#This Row],[tee time3]],'Summer FD - groups'!$A$3:$F$20,5,FALSE),"")</f>
        <v/>
      </c>
      <c r="U115" s="69" t="str">
        <f>IF(Table2[[#This Row],[avg gap]]&lt;&gt;"",IFERROR((MAX(starting_interval,IF(Table2[[#This Row],[gap3]]="NA",Table2[[#This Row],[avg gap]],Table2[[#This Row],[gap3]]))-starting_interval)*Table2[[#This Row],[followers3]]/Table2[[#This Row],[group size3]],""),"")</f>
        <v/>
      </c>
      <c r="V115" s="32" t="str">
        <f>_xlfn.IFNA(VLOOKUP(Table2[[#This Row],[Name]],'6-6-6 - players'!$A$2:$B$69,2,FALSE),"")</f>
        <v/>
      </c>
      <c r="W115" s="60" t="str">
        <f>IF(Table2[[#This Row],[tee time4]]&lt;&gt;"",COUNTIF('6-6-6 - players'!$B$2:$B$69,"="&amp;Table2[[#This Row],[tee time4]]),"")</f>
        <v/>
      </c>
      <c r="X115" s="60" t="str">
        <f>_xlfn.IFNA(VLOOKUP(Table2[[#This Row],[tee time4]],'6-6-6 - groups'!$A$3:$F$20,6,FALSE),"")</f>
        <v/>
      </c>
      <c r="Y115" s="4" t="str">
        <f>_xlfn.IFNA(VLOOKUP(Table2[[#This Row],[tee time4]],'6-6-6 - groups'!$A$3:$F$20,4,FALSE),"")</f>
        <v/>
      </c>
      <c r="Z115" s="13" t="str">
        <f>_xlfn.IFNA(VLOOKUP(Table2[[#This Row],[tee time4]],'6-6-6 - groups'!$A$3:$F$20,5,FALSE),"")</f>
        <v/>
      </c>
      <c r="AA115" s="69" t="str">
        <f>IF(Table2[[#This Row],[avg gap]]&lt;&gt;"",IFERROR((MAX(starting_interval,IF(Table2[[#This Row],[gap4]]="NA",Table2[[#This Row],[avg gap]],Table2[[#This Row],[gap4]]))-starting_interval)*Table2[[#This Row],[followers4]]/Table2[[#This Row],[group size4]],""),"")</f>
        <v/>
      </c>
      <c r="AB115" s="32">
        <f>_xlfn.IFNA(VLOOKUP(Table2[[#This Row],[Name]],'Fall FD - players'!$A$2:$B$65,2,FALSE),"")</f>
        <v>0.44166666666666665</v>
      </c>
      <c r="AC115" s="60">
        <f>IF(Table2[[#This Row],[tee time5]]&lt;&gt;"",COUNTIF('Fall FD - players'!$B$2:$B$65,"="&amp;Table2[[#This Row],[tee time5]]),"")</f>
        <v>4</v>
      </c>
      <c r="AD115" s="60">
        <f>_xlfn.IFNA(VLOOKUP(Table2[[#This Row],[tee time5]],'Fall FD - groups'!$A$3:$F$20,6,FALSE),"")</f>
        <v>8</v>
      </c>
      <c r="AE115" s="4">
        <f>_xlfn.IFNA(VLOOKUP(Table2[[#This Row],[tee time5]],'Fall FD - groups'!$A$3:$F$20,4,FALSE),"")</f>
        <v>0.17499999999999999</v>
      </c>
      <c r="AF115" s="13">
        <f>IFERROR(MIN(_xlfn.IFNA(VLOOKUP(Table2[[#This Row],[tee time5]],'Fall FD - groups'!$A$3:$F$20,5,FALSE),""),starting_interval + Table2[[#This Row],[round5]] - standard_round_time),"")</f>
        <v>6.2500000000000888E-3</v>
      </c>
      <c r="AG115" s="69">
        <f>IF(AND(Table2[[#This Row],[gap5]]="NA",Table2[[#This Row],[round5]]&lt;4/24),0,IFERROR((MAX(starting_interval,IF(Table2[[#This Row],[gap5]]="NA",Table2[[#This Row],[avg gap]],Table2[[#This Row],[gap5]]))-starting_interval)*Table2[[#This Row],[followers5]]/Table2[[#This Row],[group size5]],""))</f>
        <v>0</v>
      </c>
      <c r="AH115" s="32" t="str">
        <f>_xlfn.IFNA(VLOOKUP(Table2[[#This Row],[Name]],'Stableford - players'!$A$2:$B$65,2,FALSE),"")</f>
        <v/>
      </c>
      <c r="AI115" s="60" t="str">
        <f>IF(Table2[[#This Row],[tee time6]]&lt;&gt;"",COUNTIF('Stableford - players'!$B$2:$B$65,"="&amp;Table2[[#This Row],[tee time6]]),"")</f>
        <v/>
      </c>
      <c r="AJ115" s="59" t="str">
        <f>_xlfn.IFNA(VLOOKUP(Table2[[#This Row],[tee time6]],'Stableford - groups'!$A$3:$F$20,6,FALSE),"")</f>
        <v/>
      </c>
      <c r="AK115" s="11" t="str">
        <f>_xlfn.IFNA(VLOOKUP(Table2[[#This Row],[tee time6]],'Stableford - groups'!$A$3:$F$20,4,FALSE),"")</f>
        <v/>
      </c>
      <c r="AL115" s="13" t="str">
        <f>_xlfn.IFNA(VLOOKUP(Table2[[#This Row],[tee time6]],'Stableford - groups'!$A$3:$F$20,5,FALSE),"")</f>
        <v/>
      </c>
      <c r="AM115" s="68" t="str">
        <f>IF(AND(Table2[[#This Row],[gap6]]="NA",Table2[[#This Row],[round6]]&lt;4/24),0,IFERROR((MAX(starting_interval,IF(Table2[[#This Row],[gap6]]="NA",Table2[[#This Row],[avg gap]],Table2[[#This Row],[gap6]]))-starting_interval)*Table2[[#This Row],[followers6]]/Table2[[#This Row],[group size6]],""))</f>
        <v/>
      </c>
      <c r="AN115" s="32" t="str">
        <f>_xlfn.IFNA(VLOOKUP(Table2[[#This Row],[Name]],'Turkey Shoot - players'!$A$2:$B$65,2,FALSE),"")</f>
        <v/>
      </c>
      <c r="AO115" s="59" t="str">
        <f>IF(Table2[[#This Row],[tee time7]]&lt;&gt;"",COUNTIF('Turkey Shoot - players'!$B$2:$B$65,"="&amp;Table2[[#This Row],[tee time7]]),"")</f>
        <v/>
      </c>
      <c r="AP115" s="59" t="str">
        <f>_xlfn.IFNA(VLOOKUP(Table2[[#This Row],[tee time7]],'Stableford - groups'!$A$3:$F$20,6,FALSE),"")</f>
        <v/>
      </c>
      <c r="AQ115" s="11" t="str">
        <f>_xlfn.IFNA(VLOOKUP(Table2[[#This Row],[tee time7]],'Turkey Shoot - groups'!$A$3:$F$20,4,FALSE),"")</f>
        <v/>
      </c>
      <c r="AR115" s="13" t="str">
        <f>_xlfn.IFNA(VLOOKUP(Table2[[#This Row],[tee time7]],'Turkey Shoot - groups'!$A$3:$F$20,5,FALSE),"")</f>
        <v/>
      </c>
      <c r="AS115" s="68" t="str">
        <f>IF(AND(Table2[[#This Row],[gap7]]="NA",Table2[[#This Row],[round7]]&lt;4/24),0,IFERROR((MAX(starting_interval,IF(Table2[[#This Row],[gap7]]="NA",Table2[[#This Row],[avg gap]],Table2[[#This Row],[gap7]]))-starting_interval)*Table2[[#This Row],[followers7]]/Table2[[#This Row],[group size7]],""))</f>
        <v/>
      </c>
      <c r="AT115" s="72">
        <f>COUNT(Table2[[#This Row],[Tee time1]],Table2[[#This Row],[tee time2]],Table2[[#This Row],[tee time3]],Table2[[#This Row],[tee time4]],Table2[[#This Row],[tee time5]],Table2[[#This Row],[tee time6]],Table2[[#This Row],[tee time7]])</f>
        <v>1</v>
      </c>
      <c r="AU115" s="4">
        <f>IFERROR(AVERAGE(Table2[[#This Row],[Tee time1]],Table2[[#This Row],[tee time2]],Table2[[#This Row],[tee time3]],Table2[[#This Row],[tee time4]],Table2[[#This Row],[tee time5]],Table2[[#This Row],[tee time6]],Table2[[#This Row],[tee time7]]),"")</f>
        <v>0.44166666666666665</v>
      </c>
      <c r="AV115" s="30">
        <f>IFERROR(MEDIAN(Table2[[#This Row],[round1]],Table2[[#This Row],[Round2]],Table2[[#This Row],[round3]],Table2[[#This Row],[round4]],Table2[[#This Row],[round5]],Table2[[#This Row],[round6]],Table2[[#This Row],[round7]]),"")</f>
        <v>0.17499999999999999</v>
      </c>
      <c r="AW115" s="30">
        <f>IFERROR(AVERAGE(Table2[[#This Row],[gap1]],Table2[[#This Row],[gap2]],Table2[[#This Row],[gap3]],Table2[[#This Row],[gap4]],Table2[[#This Row],[gap5]],Table2[[#This Row],[gap6]],Table2[[#This Row],[gap7]]),"")</f>
        <v>6.2500000000000888E-3</v>
      </c>
      <c r="AX115" s="9">
        <f>IFERROR((Table2[[#This Row],[avg gap]]-starting_interval)*24*60*Table2[[#This Row],[Count]],"NA")</f>
        <v>-0.99999999999987155</v>
      </c>
      <c r="AY11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15" s="2"/>
    </row>
    <row r="116" spans="1:52" x14ac:dyDescent="0.3">
      <c r="A116" s="10" t="s">
        <v>128</v>
      </c>
      <c r="B116" s="1" t="s">
        <v>369</v>
      </c>
      <c r="C116" s="19">
        <v>8</v>
      </c>
      <c r="D116" s="32" t="str">
        <f>_xlfn.IFNA(VLOOKUP(Table2[[#This Row],[Name]],'Classic day 1 - players'!$A$2:$B$64,2,FALSE),"")</f>
        <v/>
      </c>
      <c r="E116" s="33" t="str">
        <f>IF(Table2[[#This Row],[Tee time1]]&lt;&gt;"",COUNTIF('Classic day 1 - players'!$B$2:$B$64,"="&amp;Table2[[#This Row],[Tee time1]]),"")</f>
        <v/>
      </c>
      <c r="F116" s="33" t="str">
        <f>_xlfn.IFNA(VLOOKUP(Table2[[#This Row],[Tee time1]],'Classic day 1 - groups'!$A$3:$F$20,6,FALSE),"")</f>
        <v/>
      </c>
      <c r="G116" s="11" t="str">
        <f>_xlfn.IFNA(VLOOKUP(Table2[[#This Row],[Tee time1]],'Classic day 1 - groups'!$A$3:$F$20,4,FALSE),"")</f>
        <v/>
      </c>
      <c r="H116" s="12" t="str">
        <f>_xlfn.IFNA(VLOOKUP(Table2[[#This Row],[Tee time1]],'Classic day 1 - groups'!$A$3:$F$20,5,FALSE),"")</f>
        <v/>
      </c>
      <c r="I116" s="69" t="str">
        <f>IFERROR((MAX(starting_interval,IF(Table2[[#This Row],[gap1]]="NA",Table2[[#This Row],[avg gap]],Table2[[#This Row],[gap1]]))-starting_interval)*Table2[[#This Row],[followers1]]/Table2[[#This Row],[group size]],"")</f>
        <v/>
      </c>
      <c r="J116" s="32" t="str">
        <f>_xlfn.IFNA(VLOOKUP(Table2[[#This Row],[Name]],'Classic day 2 - players'!$A$2:$B$64,2,FALSE),"")</f>
        <v/>
      </c>
      <c r="K116" s="33" t="str">
        <f>IF(Table2[[#This Row],[tee time2]]&lt;&gt;"",COUNTIF('Classic day 2 - players'!$B$2:$B$64,"="&amp;Table2[[#This Row],[tee time2]]),"")</f>
        <v/>
      </c>
      <c r="L116" s="33" t="str">
        <f>_xlfn.IFNA(VLOOKUP(Table2[[#This Row],[tee time2]],'Classic day 2 - groups'!$A$3:$F$20,6,FALSE),"")</f>
        <v/>
      </c>
      <c r="M116" s="4" t="str">
        <f>_xlfn.IFNA(VLOOKUP(Table2[[#This Row],[tee time2]],'Classic day 2 - groups'!$A$3:$F$20,4,FALSE),"")</f>
        <v/>
      </c>
      <c r="N116" s="65" t="str">
        <f>_xlfn.IFNA(VLOOKUP(Table2[[#This Row],[tee time2]],'Classic day 2 - groups'!$A$3:$F$20,5,FALSE),"")</f>
        <v/>
      </c>
      <c r="O116" s="69" t="str">
        <f>IFERROR((MAX(starting_interval,IF(Table2[[#This Row],[gap2]]="NA",Table2[[#This Row],[avg gap]],Table2[[#This Row],[gap2]]))-starting_interval)*Table2[[#This Row],[followers2]]/Table2[[#This Row],[group size2]],"")</f>
        <v/>
      </c>
      <c r="P116" s="32" t="str">
        <f>_xlfn.IFNA(VLOOKUP(Table2[[#This Row],[Name]],'Summer FD - players'!$A$2:$B$65,2,FALSE),"")</f>
        <v/>
      </c>
      <c r="Q116" s="59" t="str">
        <f>IF(Table2[[#This Row],[tee time3]]&lt;&gt;"",COUNTIF('Summer FD - players'!$B$2:$B$65,"="&amp;Table2[[#This Row],[tee time3]]),"")</f>
        <v/>
      </c>
      <c r="R116" s="59" t="str">
        <f>_xlfn.IFNA(VLOOKUP(Table2[[#This Row],[tee time3]],'Summer FD - groups'!$A$3:$F$20,6,FALSE),"")</f>
        <v/>
      </c>
      <c r="S116" s="4" t="str">
        <f>_xlfn.IFNA(VLOOKUP(Table2[[#This Row],[tee time3]],'Summer FD - groups'!$A$3:$F$20,4,FALSE),"")</f>
        <v/>
      </c>
      <c r="T116" s="13" t="str">
        <f>_xlfn.IFNA(VLOOKUP(Table2[[#This Row],[tee time3]],'Summer FD - groups'!$A$3:$F$20,5,FALSE),"")</f>
        <v/>
      </c>
      <c r="U116" s="69" t="str">
        <f>IF(Table2[[#This Row],[avg gap]]&lt;&gt;"",IFERROR((MAX(starting_interval,IF(Table2[[#This Row],[gap3]]="NA",Table2[[#This Row],[avg gap]],Table2[[#This Row],[gap3]]))-starting_interval)*Table2[[#This Row],[followers3]]/Table2[[#This Row],[group size3]],""),"")</f>
        <v/>
      </c>
      <c r="V116" s="32">
        <f>_xlfn.IFNA(VLOOKUP(Table2[[#This Row],[Name]],'6-6-6 - players'!$A$2:$B$69,2,FALSE),"")</f>
        <v>0.35416666666666669</v>
      </c>
      <c r="W116" s="59">
        <f>IF(Table2[[#This Row],[tee time4]]&lt;&gt;"",COUNTIF('6-6-6 - players'!$B$2:$B$69,"="&amp;Table2[[#This Row],[tee time4]]),"")</f>
        <v>2</v>
      </c>
      <c r="X116" s="59">
        <f>_xlfn.IFNA(VLOOKUP(Table2[[#This Row],[tee time4]],'6-6-6 - groups'!$A$3:$F$20,6,FALSE),"")</f>
        <v>56</v>
      </c>
      <c r="Y116" s="4">
        <f>_xlfn.IFNA(VLOOKUP(Table2[[#This Row],[tee time4]],'6-6-6 - groups'!$A$3:$F$20,4,FALSE),"")</f>
        <v>0.17291666666666666</v>
      </c>
      <c r="Z116" s="13">
        <f>_xlfn.IFNA(VLOOKUP(Table2[[#This Row],[tee time4]],'6-6-6 - groups'!$A$3:$F$20,5,FALSE),"")</f>
        <v>6.2499999999999778E-3</v>
      </c>
      <c r="AA116" s="69">
        <f>IF(Table2[[#This Row],[avg gap]]&lt;&gt;"",IFERROR((MAX(starting_interval,IF(Table2[[#This Row],[gap4]]="NA",Table2[[#This Row],[avg gap]],Table2[[#This Row],[gap4]]))-starting_interval)*Table2[[#This Row],[followers4]]/Table2[[#This Row],[group size4]],""),"")</f>
        <v>0</v>
      </c>
      <c r="AB116" s="32" t="str">
        <f>_xlfn.IFNA(VLOOKUP(Table2[[#This Row],[Name]],'Fall FD - players'!$A$2:$B$65,2,FALSE),"")</f>
        <v/>
      </c>
      <c r="AC116" s="59" t="str">
        <f>IF(Table2[[#This Row],[tee time5]]&lt;&gt;"",COUNTIF('Fall FD - players'!$B$2:$B$65,"="&amp;Table2[[#This Row],[tee time5]]),"")</f>
        <v/>
      </c>
      <c r="AD116" s="59" t="str">
        <f>_xlfn.IFNA(VLOOKUP(Table2[[#This Row],[tee time5]],'Fall FD - groups'!$A$3:$F$20,6,FALSE),"")</f>
        <v/>
      </c>
      <c r="AE116" s="4" t="str">
        <f>_xlfn.IFNA(VLOOKUP(Table2[[#This Row],[tee time5]],'Fall FD - groups'!$A$3:$F$20,4,FALSE),"")</f>
        <v/>
      </c>
      <c r="AF116" s="13" t="str">
        <f>IFERROR(MIN(_xlfn.IFNA(VLOOKUP(Table2[[#This Row],[tee time5]],'Fall FD - groups'!$A$3:$F$20,5,FALSE),""),starting_interval + Table2[[#This Row],[round5]] - standard_round_time),"")</f>
        <v/>
      </c>
      <c r="AG116" s="69" t="str">
        <f>IF(AND(Table2[[#This Row],[gap5]]="NA",Table2[[#This Row],[round5]]&lt;4/24),0,IFERROR((MAX(starting_interval,IF(Table2[[#This Row],[gap5]]="NA",Table2[[#This Row],[avg gap]],Table2[[#This Row],[gap5]]))-starting_interval)*Table2[[#This Row],[followers5]]/Table2[[#This Row],[group size5]],""))</f>
        <v/>
      </c>
      <c r="AH116" s="32" t="str">
        <f>_xlfn.IFNA(VLOOKUP(Table2[[#This Row],[Name]],'Stableford - players'!$A$2:$B$65,2,FALSE),"")</f>
        <v/>
      </c>
      <c r="AI116" s="59" t="str">
        <f>IF(Table2[[#This Row],[tee time6]]&lt;&gt;"",COUNTIF('Stableford - players'!$B$2:$B$65,"="&amp;Table2[[#This Row],[tee time6]]),"")</f>
        <v/>
      </c>
      <c r="AJ116" s="59" t="str">
        <f>_xlfn.IFNA(VLOOKUP(Table2[[#This Row],[tee time6]],'Stableford - groups'!$A$3:$F$20,6,FALSE),"")</f>
        <v/>
      </c>
      <c r="AK116" s="11" t="str">
        <f>_xlfn.IFNA(VLOOKUP(Table2[[#This Row],[tee time6]],'Stableford - groups'!$A$3:$F$20,4,FALSE),"")</f>
        <v/>
      </c>
      <c r="AL116" s="13" t="str">
        <f>_xlfn.IFNA(VLOOKUP(Table2[[#This Row],[tee time6]],'Stableford - groups'!$A$3:$F$20,5,FALSE),"")</f>
        <v/>
      </c>
      <c r="AM116" s="68" t="str">
        <f>IF(AND(Table2[[#This Row],[gap6]]="NA",Table2[[#This Row],[round6]]&lt;4/24),0,IFERROR((MAX(starting_interval,IF(Table2[[#This Row],[gap6]]="NA",Table2[[#This Row],[avg gap]],Table2[[#This Row],[gap6]]))-starting_interval)*Table2[[#This Row],[followers6]]/Table2[[#This Row],[group size6]],""))</f>
        <v/>
      </c>
      <c r="AN116" s="32" t="str">
        <f>_xlfn.IFNA(VLOOKUP(Table2[[#This Row],[Name]],'Turkey Shoot - players'!$A$2:$B$65,2,FALSE),"")</f>
        <v/>
      </c>
      <c r="AO116" s="59" t="str">
        <f>IF(Table2[[#This Row],[tee time7]]&lt;&gt;"",COUNTIF('Turkey Shoot - players'!$B$2:$B$65,"="&amp;Table2[[#This Row],[tee time7]]),"")</f>
        <v/>
      </c>
      <c r="AP116" s="59" t="str">
        <f>_xlfn.IFNA(VLOOKUP(Table2[[#This Row],[tee time7]],'Stableford - groups'!$A$3:$F$20,6,FALSE),"")</f>
        <v/>
      </c>
      <c r="AQ116" s="11" t="str">
        <f>_xlfn.IFNA(VLOOKUP(Table2[[#This Row],[tee time7]],'Turkey Shoot - groups'!$A$3:$F$20,4,FALSE),"")</f>
        <v/>
      </c>
      <c r="AR116" s="13" t="str">
        <f>_xlfn.IFNA(VLOOKUP(Table2[[#This Row],[tee time7]],'Turkey Shoot - groups'!$A$3:$F$20,5,FALSE),"")</f>
        <v/>
      </c>
      <c r="AS116" s="68" t="str">
        <f>IF(AND(Table2[[#This Row],[gap7]]="NA",Table2[[#This Row],[round7]]&lt;4/24),0,IFERROR((MAX(starting_interval,IF(Table2[[#This Row],[gap7]]="NA",Table2[[#This Row],[avg gap]],Table2[[#This Row],[gap7]]))-starting_interval)*Table2[[#This Row],[followers7]]/Table2[[#This Row],[group size7]],""))</f>
        <v/>
      </c>
      <c r="AT116" s="72">
        <f>COUNT(Table2[[#This Row],[Tee time1]],Table2[[#This Row],[tee time2]],Table2[[#This Row],[tee time3]],Table2[[#This Row],[tee time4]],Table2[[#This Row],[tee time5]],Table2[[#This Row],[tee time6]],Table2[[#This Row],[tee time7]])</f>
        <v>1</v>
      </c>
      <c r="AU116" s="4">
        <f>IFERROR(AVERAGE(Table2[[#This Row],[Tee time1]],Table2[[#This Row],[tee time2]],Table2[[#This Row],[tee time3]],Table2[[#This Row],[tee time4]],Table2[[#This Row],[tee time5]],Table2[[#This Row],[tee time6]],Table2[[#This Row],[tee time7]]),"")</f>
        <v>0.35416666666666669</v>
      </c>
      <c r="AV116" s="11">
        <f>IFERROR(MEDIAN(Table2[[#This Row],[round1]],Table2[[#This Row],[Round2]],Table2[[#This Row],[round3]],Table2[[#This Row],[round4]],Table2[[#This Row],[round5]],Table2[[#This Row],[round6]],Table2[[#This Row],[round7]]),"")</f>
        <v>0.17291666666666666</v>
      </c>
      <c r="AW116" s="11">
        <f>IFERROR(AVERAGE(Table2[[#This Row],[gap1]],Table2[[#This Row],[gap2]],Table2[[#This Row],[gap3]],Table2[[#This Row],[gap4]],Table2[[#This Row],[gap5]],Table2[[#This Row],[gap6]],Table2[[#This Row],[gap7]]),"")</f>
        <v>6.2499999999999778E-3</v>
      </c>
      <c r="AX116" s="9">
        <f>IFERROR((Table2[[#This Row],[avg gap]]-starting_interval)*24*60*Table2[[#This Row],[Count]],"NA")</f>
        <v>-1.0000000000000315</v>
      </c>
      <c r="AY11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16" s="2"/>
    </row>
    <row r="117" spans="1:52" x14ac:dyDescent="0.3">
      <c r="A117" s="10" t="s">
        <v>83</v>
      </c>
      <c r="B117" s="1" t="s">
        <v>322</v>
      </c>
      <c r="C117" s="19">
        <v>14.4</v>
      </c>
      <c r="D117" s="32" t="str">
        <f>_xlfn.IFNA(VLOOKUP(Table2[[#This Row],[Name]],'Classic day 1 - players'!$A$2:$B$64,2,FALSE),"")</f>
        <v/>
      </c>
      <c r="E117" s="33" t="str">
        <f>IF(Table2[[#This Row],[Tee time1]]&lt;&gt;"",COUNTIF('Classic day 1 - players'!$B$2:$B$64,"="&amp;Table2[[#This Row],[Tee time1]]),"")</f>
        <v/>
      </c>
      <c r="F117" s="33" t="str">
        <f>_xlfn.IFNA(VLOOKUP(Table2[[#This Row],[Tee time1]],'Classic day 1 - groups'!$A$3:$F$20,6,FALSE),"")</f>
        <v/>
      </c>
      <c r="G117" s="11" t="str">
        <f>_xlfn.IFNA(VLOOKUP(Table2[[#This Row],[Tee time1]],'Classic day 1 - groups'!$A$3:$F$20,4,FALSE),"")</f>
        <v/>
      </c>
      <c r="H117" s="12" t="str">
        <f>_xlfn.IFNA(VLOOKUP(Table2[[#This Row],[Tee time1]],'Classic day 1 - groups'!$A$3:$F$20,5,FALSE),"")</f>
        <v/>
      </c>
      <c r="I117" s="69" t="str">
        <f>IFERROR((MAX(starting_interval,IF(Table2[[#This Row],[gap1]]="NA",Table2[[#This Row],[avg gap]],Table2[[#This Row],[gap1]]))-starting_interval)*Table2[[#This Row],[followers1]]/Table2[[#This Row],[group size]],"")</f>
        <v/>
      </c>
      <c r="J117" s="32" t="str">
        <f>_xlfn.IFNA(VLOOKUP(Table2[[#This Row],[Name]],'Classic day 2 - players'!$A$2:$B$64,2,FALSE),"")</f>
        <v/>
      </c>
      <c r="K117" s="33" t="str">
        <f>IF(Table2[[#This Row],[tee time2]]&lt;&gt;"",COUNTIF('Classic day 2 - players'!$B$2:$B$64,"="&amp;Table2[[#This Row],[tee time2]]),"")</f>
        <v/>
      </c>
      <c r="L117" s="33" t="str">
        <f>_xlfn.IFNA(VLOOKUP(Table2[[#This Row],[tee time2]],'Classic day 2 - groups'!$A$3:$F$20,6,FALSE),"")</f>
        <v/>
      </c>
      <c r="M117" s="4" t="str">
        <f>_xlfn.IFNA(VLOOKUP(Table2[[#This Row],[tee time2]],'Classic day 2 - groups'!$A$3:$F$20,4,FALSE),"")</f>
        <v/>
      </c>
      <c r="N117" s="65" t="str">
        <f>_xlfn.IFNA(VLOOKUP(Table2[[#This Row],[tee time2]],'Classic day 2 - groups'!$A$3:$F$20,5,FALSE),"")</f>
        <v/>
      </c>
      <c r="O117" s="69" t="str">
        <f>IFERROR((MAX(starting_interval,IF(Table2[[#This Row],[gap2]]="NA",Table2[[#This Row],[avg gap]],Table2[[#This Row],[gap2]]))-starting_interval)*Table2[[#This Row],[followers2]]/Table2[[#This Row],[group size2]],"")</f>
        <v/>
      </c>
      <c r="P117" s="32">
        <f>_xlfn.IFNA(VLOOKUP(Table2[[#This Row],[Name]],'Summer FD - players'!$A$2:$B$65,2,FALSE),"")</f>
        <v>0.35000000000000003</v>
      </c>
      <c r="Q117" s="59">
        <f>IF(Table2[[#This Row],[tee time3]]&lt;&gt;"",COUNTIF('Summer FD - players'!$B$2:$B$65,"="&amp;Table2[[#This Row],[tee time3]]),"")</f>
        <v>4</v>
      </c>
      <c r="R117" s="59">
        <f>_xlfn.IFNA(VLOOKUP(Table2[[#This Row],[tee time3]],'Summer FD - groups'!$A$3:$F$20,6,FALSE),"")</f>
        <v>52</v>
      </c>
      <c r="S117" s="4">
        <f>_xlfn.IFNA(VLOOKUP(Table2[[#This Row],[tee time3]],'Summer FD - groups'!$A$3:$F$20,4,FALSE),"")</f>
        <v>0.19027777777777771</v>
      </c>
      <c r="T117" s="13">
        <f>_xlfn.IFNA(VLOOKUP(Table2[[#This Row],[tee time3]],'Summer FD - groups'!$A$3:$F$20,5,FALSE),"")</f>
        <v>6.2499999999999778E-3</v>
      </c>
      <c r="U117" s="69">
        <f>IF(Table2[[#This Row],[avg gap]]&lt;&gt;"",IFERROR((MAX(starting_interval,IF(Table2[[#This Row],[gap3]]="NA",Table2[[#This Row],[avg gap]],Table2[[#This Row],[gap3]]))-starting_interval)*Table2[[#This Row],[followers3]]/Table2[[#This Row],[group size3]],""),"")</f>
        <v>0</v>
      </c>
      <c r="V117" s="32" t="str">
        <f>_xlfn.IFNA(VLOOKUP(Table2[[#This Row],[Name]],'6-6-6 - players'!$A$2:$B$69,2,FALSE),"")</f>
        <v/>
      </c>
      <c r="W117" s="59" t="str">
        <f>IF(Table2[[#This Row],[tee time4]]&lt;&gt;"",COUNTIF('6-6-6 - players'!$B$2:$B$69,"="&amp;Table2[[#This Row],[tee time4]]),"")</f>
        <v/>
      </c>
      <c r="X117" s="59" t="str">
        <f>_xlfn.IFNA(VLOOKUP(Table2[[#This Row],[tee time4]],'6-6-6 - groups'!$A$3:$F$20,6,FALSE),"")</f>
        <v/>
      </c>
      <c r="Y117" s="4" t="str">
        <f>_xlfn.IFNA(VLOOKUP(Table2[[#This Row],[tee time4]],'6-6-6 - groups'!$A$3:$F$20,4,FALSE),"")</f>
        <v/>
      </c>
      <c r="Z117" s="13" t="str">
        <f>_xlfn.IFNA(VLOOKUP(Table2[[#This Row],[tee time4]],'6-6-6 - groups'!$A$3:$F$20,5,FALSE),"")</f>
        <v/>
      </c>
      <c r="AA117" s="69" t="str">
        <f>IF(Table2[[#This Row],[avg gap]]&lt;&gt;"",IFERROR((MAX(starting_interval,IF(Table2[[#This Row],[gap4]]="NA",Table2[[#This Row],[avg gap]],Table2[[#This Row],[gap4]]))-starting_interval)*Table2[[#This Row],[followers4]]/Table2[[#This Row],[group size4]],""),"")</f>
        <v/>
      </c>
      <c r="AB117" s="32" t="str">
        <f>_xlfn.IFNA(VLOOKUP(Table2[[#This Row],[Name]],'Fall FD - players'!$A$2:$B$65,2,FALSE),"")</f>
        <v/>
      </c>
      <c r="AC117" s="59" t="str">
        <f>IF(Table2[[#This Row],[tee time5]]&lt;&gt;"",COUNTIF('Fall FD - players'!$B$2:$B$65,"="&amp;Table2[[#This Row],[tee time5]]),"")</f>
        <v/>
      </c>
      <c r="AD117" s="59" t="str">
        <f>_xlfn.IFNA(VLOOKUP(Table2[[#This Row],[tee time5]],'Fall FD - groups'!$A$3:$F$20,6,FALSE),"")</f>
        <v/>
      </c>
      <c r="AE117" s="4" t="str">
        <f>_xlfn.IFNA(VLOOKUP(Table2[[#This Row],[tee time5]],'Fall FD - groups'!$A$3:$F$20,4,FALSE),"")</f>
        <v/>
      </c>
      <c r="AF117" s="13" t="str">
        <f>IFERROR(MIN(_xlfn.IFNA(VLOOKUP(Table2[[#This Row],[tee time5]],'Fall FD - groups'!$A$3:$F$20,5,FALSE),""),starting_interval + Table2[[#This Row],[round5]] - standard_round_time),"")</f>
        <v/>
      </c>
      <c r="AG117" s="69" t="str">
        <f>IF(AND(Table2[[#This Row],[gap5]]="NA",Table2[[#This Row],[round5]]&lt;4/24),0,IFERROR((MAX(starting_interval,IF(Table2[[#This Row],[gap5]]="NA",Table2[[#This Row],[avg gap]],Table2[[#This Row],[gap5]]))-starting_interval)*Table2[[#This Row],[followers5]]/Table2[[#This Row],[group size5]],""))</f>
        <v/>
      </c>
      <c r="AH117" s="32" t="str">
        <f>_xlfn.IFNA(VLOOKUP(Table2[[#This Row],[Name]],'Stableford - players'!$A$2:$B$65,2,FALSE),"")</f>
        <v/>
      </c>
      <c r="AI117" s="59" t="str">
        <f>IF(Table2[[#This Row],[tee time6]]&lt;&gt;"",COUNTIF('Stableford - players'!$B$2:$B$65,"="&amp;Table2[[#This Row],[tee time6]]),"")</f>
        <v/>
      </c>
      <c r="AJ117" s="59" t="str">
        <f>_xlfn.IFNA(VLOOKUP(Table2[[#This Row],[tee time6]],'Stableford - groups'!$A$3:$F$20,6,FALSE),"")</f>
        <v/>
      </c>
      <c r="AK117" s="11" t="str">
        <f>_xlfn.IFNA(VLOOKUP(Table2[[#This Row],[tee time6]],'Stableford - groups'!$A$3:$F$20,4,FALSE),"")</f>
        <v/>
      </c>
      <c r="AL117" s="13" t="str">
        <f>_xlfn.IFNA(VLOOKUP(Table2[[#This Row],[tee time6]],'Stableford - groups'!$A$3:$F$20,5,FALSE),"")</f>
        <v/>
      </c>
      <c r="AM117" s="68" t="str">
        <f>IF(AND(Table2[[#This Row],[gap6]]="NA",Table2[[#This Row],[round6]]&lt;4/24),0,IFERROR((MAX(starting_interval,IF(Table2[[#This Row],[gap6]]="NA",Table2[[#This Row],[avg gap]],Table2[[#This Row],[gap6]]))-starting_interval)*Table2[[#This Row],[followers6]]/Table2[[#This Row],[group size6]],""))</f>
        <v/>
      </c>
      <c r="AN117" s="32" t="str">
        <f>_xlfn.IFNA(VLOOKUP(Table2[[#This Row],[Name]],'Turkey Shoot - players'!$A$2:$B$65,2,FALSE),"")</f>
        <v/>
      </c>
      <c r="AO117" s="59" t="str">
        <f>IF(Table2[[#This Row],[tee time7]]&lt;&gt;"",COUNTIF('Turkey Shoot - players'!$B$2:$B$65,"="&amp;Table2[[#This Row],[tee time7]]),"")</f>
        <v/>
      </c>
      <c r="AP117" s="59" t="str">
        <f>_xlfn.IFNA(VLOOKUP(Table2[[#This Row],[tee time7]],'Stableford - groups'!$A$3:$F$20,6,FALSE),"")</f>
        <v/>
      </c>
      <c r="AQ117" s="11" t="str">
        <f>_xlfn.IFNA(VLOOKUP(Table2[[#This Row],[tee time7]],'Turkey Shoot - groups'!$A$3:$F$20,4,FALSE),"")</f>
        <v/>
      </c>
      <c r="AR117" s="13" t="str">
        <f>_xlfn.IFNA(VLOOKUP(Table2[[#This Row],[tee time7]],'Turkey Shoot - groups'!$A$3:$F$20,5,FALSE),"")</f>
        <v/>
      </c>
      <c r="AS117" s="68" t="str">
        <f>IF(AND(Table2[[#This Row],[gap7]]="NA",Table2[[#This Row],[round7]]&lt;4/24),0,IFERROR((MAX(starting_interval,IF(Table2[[#This Row],[gap7]]="NA",Table2[[#This Row],[avg gap]],Table2[[#This Row],[gap7]]))-starting_interval)*Table2[[#This Row],[followers7]]/Table2[[#This Row],[group size7]],""))</f>
        <v/>
      </c>
      <c r="AT117" s="72">
        <f>COUNT(Table2[[#This Row],[Tee time1]],Table2[[#This Row],[tee time2]],Table2[[#This Row],[tee time3]],Table2[[#This Row],[tee time4]],Table2[[#This Row],[tee time5]],Table2[[#This Row],[tee time6]],Table2[[#This Row],[tee time7]])</f>
        <v>1</v>
      </c>
      <c r="AU117" s="4">
        <f>IFERROR(AVERAGE(Table2[[#This Row],[Tee time1]],Table2[[#This Row],[tee time2]],Table2[[#This Row],[tee time3]],Table2[[#This Row],[tee time4]],Table2[[#This Row],[tee time5]],Table2[[#This Row],[tee time6]],Table2[[#This Row],[tee time7]]),"")</f>
        <v>0.35000000000000003</v>
      </c>
      <c r="AV117" s="11">
        <f>IFERROR(MEDIAN(Table2[[#This Row],[round1]],Table2[[#This Row],[Round2]],Table2[[#This Row],[round3]],Table2[[#This Row],[round4]],Table2[[#This Row],[round5]],Table2[[#This Row],[round6]],Table2[[#This Row],[round7]]),"")</f>
        <v>0.19027777777777771</v>
      </c>
      <c r="AW117" s="11">
        <f>IFERROR(AVERAGE(Table2[[#This Row],[gap1]],Table2[[#This Row],[gap2]],Table2[[#This Row],[gap3]],Table2[[#This Row],[gap4]],Table2[[#This Row],[gap5]],Table2[[#This Row],[gap6]],Table2[[#This Row],[gap7]]),"")</f>
        <v>6.2499999999999778E-3</v>
      </c>
      <c r="AX117" s="9">
        <f>IFERROR((Table2[[#This Row],[avg gap]]-starting_interval)*24*60*Table2[[#This Row],[Count]],"NA")</f>
        <v>-1.0000000000000315</v>
      </c>
      <c r="AY11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17" s="2"/>
    </row>
    <row r="118" spans="1:52" x14ac:dyDescent="0.3">
      <c r="A118" s="10" t="s">
        <v>200</v>
      </c>
      <c r="B118" s="1" t="s">
        <v>441</v>
      </c>
      <c r="C118" s="19">
        <v>35.4</v>
      </c>
      <c r="D118" s="32" t="str">
        <f>_xlfn.IFNA(VLOOKUP(Table2[[#This Row],[Name]],'Classic day 1 - players'!$A$2:$B$64,2,FALSE),"")</f>
        <v/>
      </c>
      <c r="E118" s="33" t="str">
        <f>IF(Table2[[#This Row],[Tee time1]]&lt;&gt;"",COUNTIF('Classic day 1 - players'!$B$2:$B$64,"="&amp;Table2[[#This Row],[Tee time1]]),"")</f>
        <v/>
      </c>
      <c r="F118" s="33" t="str">
        <f>_xlfn.IFNA(VLOOKUP(Table2[[#This Row],[Tee time1]],'Classic day 1 - groups'!$A$3:$F$20,6,FALSE),"")</f>
        <v/>
      </c>
      <c r="G118" s="11" t="str">
        <f>_xlfn.IFNA(VLOOKUP(Table2[[#This Row],[Tee time1]],'Classic day 1 - groups'!$A$3:$F$20,4,FALSE),"")</f>
        <v/>
      </c>
      <c r="H118" s="12" t="str">
        <f>_xlfn.IFNA(VLOOKUP(Table2[[#This Row],[Tee time1]],'Classic day 1 - groups'!$A$3:$F$20,5,FALSE),"")</f>
        <v/>
      </c>
      <c r="I118" s="69" t="str">
        <f>IFERROR((MAX(starting_interval,IF(Table2[[#This Row],[gap1]]="NA",Table2[[#This Row],[avg gap]],Table2[[#This Row],[gap1]]))-starting_interval)*Table2[[#This Row],[followers1]]/Table2[[#This Row],[group size]],"")</f>
        <v/>
      </c>
      <c r="J118" s="32" t="str">
        <f>_xlfn.IFNA(VLOOKUP(Table2[[#This Row],[Name]],'Classic day 2 - players'!$A$2:$B$64,2,FALSE),"")</f>
        <v/>
      </c>
      <c r="K118" s="33" t="str">
        <f>IF(Table2[[#This Row],[tee time2]]&lt;&gt;"",COUNTIF('Classic day 2 - players'!$B$2:$B$64,"="&amp;Table2[[#This Row],[tee time2]]),"")</f>
        <v/>
      </c>
      <c r="L118" s="33" t="str">
        <f>_xlfn.IFNA(VLOOKUP(Table2[[#This Row],[tee time2]],'Classic day 2 - groups'!$A$3:$F$20,6,FALSE),"")</f>
        <v/>
      </c>
      <c r="M118" s="4" t="str">
        <f>_xlfn.IFNA(VLOOKUP(Table2[[#This Row],[tee time2]],'Classic day 2 - groups'!$A$3:$F$20,4,FALSE),"")</f>
        <v/>
      </c>
      <c r="N118" s="65" t="str">
        <f>_xlfn.IFNA(VLOOKUP(Table2[[#This Row],[tee time2]],'Classic day 2 - groups'!$A$3:$F$20,5,FALSE),"")</f>
        <v/>
      </c>
      <c r="O118" s="69" t="str">
        <f>IFERROR((MAX(starting_interval,IF(Table2[[#This Row],[gap2]]="NA",Table2[[#This Row],[avg gap]],Table2[[#This Row],[gap2]]))-starting_interval)*Table2[[#This Row],[followers2]]/Table2[[#This Row],[group size2]],"")</f>
        <v/>
      </c>
      <c r="P118" s="32">
        <f>_xlfn.IFNA(VLOOKUP(Table2[[#This Row],[Name]],'Summer FD - players'!$A$2:$B$65,2,FALSE),"")</f>
        <v>0.35000000000000003</v>
      </c>
      <c r="Q118" s="59">
        <f>IF(Table2[[#This Row],[tee time3]]&lt;&gt;"",COUNTIF('Summer FD - players'!$B$2:$B$65,"="&amp;Table2[[#This Row],[tee time3]]),"")</f>
        <v>4</v>
      </c>
      <c r="R118" s="59">
        <f>_xlfn.IFNA(VLOOKUP(Table2[[#This Row],[tee time3]],'Summer FD - groups'!$A$3:$F$20,6,FALSE),"")</f>
        <v>52</v>
      </c>
      <c r="S118" s="4">
        <f>_xlfn.IFNA(VLOOKUP(Table2[[#This Row],[tee time3]],'Summer FD - groups'!$A$3:$F$20,4,FALSE),"")</f>
        <v>0.19027777777777771</v>
      </c>
      <c r="T118" s="13">
        <f>_xlfn.IFNA(VLOOKUP(Table2[[#This Row],[tee time3]],'Summer FD - groups'!$A$3:$F$20,5,FALSE),"")</f>
        <v>6.2499999999999778E-3</v>
      </c>
      <c r="U118" s="69">
        <f>IF(Table2[[#This Row],[avg gap]]&lt;&gt;"",IFERROR((MAX(starting_interval,IF(Table2[[#This Row],[gap3]]="NA",Table2[[#This Row],[avg gap]],Table2[[#This Row],[gap3]]))-starting_interval)*Table2[[#This Row],[followers3]]/Table2[[#This Row],[group size3]],""),"")</f>
        <v>0</v>
      </c>
      <c r="V118" s="32" t="str">
        <f>_xlfn.IFNA(VLOOKUP(Table2[[#This Row],[Name]],'6-6-6 - players'!$A$2:$B$69,2,FALSE),"")</f>
        <v/>
      </c>
      <c r="W118" s="59" t="str">
        <f>IF(Table2[[#This Row],[tee time4]]&lt;&gt;"",COUNTIF('6-6-6 - players'!$B$2:$B$69,"="&amp;Table2[[#This Row],[tee time4]]),"")</f>
        <v/>
      </c>
      <c r="X118" s="59" t="str">
        <f>_xlfn.IFNA(VLOOKUP(Table2[[#This Row],[tee time4]],'6-6-6 - groups'!$A$3:$F$20,6,FALSE),"")</f>
        <v/>
      </c>
      <c r="Y118" s="4" t="str">
        <f>_xlfn.IFNA(VLOOKUP(Table2[[#This Row],[tee time4]],'6-6-6 - groups'!$A$3:$F$20,4,FALSE),"")</f>
        <v/>
      </c>
      <c r="Z118" s="13" t="str">
        <f>_xlfn.IFNA(VLOOKUP(Table2[[#This Row],[tee time4]],'6-6-6 - groups'!$A$3:$F$20,5,FALSE),"")</f>
        <v/>
      </c>
      <c r="AA118" s="69" t="str">
        <f>IF(Table2[[#This Row],[avg gap]]&lt;&gt;"",IFERROR((MAX(starting_interval,IF(Table2[[#This Row],[gap4]]="NA",Table2[[#This Row],[avg gap]],Table2[[#This Row],[gap4]]))-starting_interval)*Table2[[#This Row],[followers4]]/Table2[[#This Row],[group size4]],""),"")</f>
        <v/>
      </c>
      <c r="AB118" s="32" t="str">
        <f>_xlfn.IFNA(VLOOKUP(Table2[[#This Row],[Name]],'Fall FD - players'!$A$2:$B$65,2,FALSE),"")</f>
        <v/>
      </c>
      <c r="AC118" s="59" t="str">
        <f>IF(Table2[[#This Row],[tee time5]]&lt;&gt;"",COUNTIF('Fall FD - players'!$B$2:$B$65,"="&amp;Table2[[#This Row],[tee time5]]),"")</f>
        <v/>
      </c>
      <c r="AD118" s="59" t="str">
        <f>_xlfn.IFNA(VLOOKUP(Table2[[#This Row],[tee time5]],'Fall FD - groups'!$A$3:$F$20,6,FALSE),"")</f>
        <v/>
      </c>
      <c r="AE118" s="4" t="str">
        <f>_xlfn.IFNA(VLOOKUP(Table2[[#This Row],[tee time5]],'Fall FD - groups'!$A$3:$F$20,4,FALSE),"")</f>
        <v/>
      </c>
      <c r="AF118" s="13" t="str">
        <f>IFERROR(MIN(_xlfn.IFNA(VLOOKUP(Table2[[#This Row],[tee time5]],'Fall FD - groups'!$A$3:$F$20,5,FALSE),""),starting_interval + Table2[[#This Row],[round5]] - standard_round_time),"")</f>
        <v/>
      </c>
      <c r="AG118" s="69" t="str">
        <f>IF(AND(Table2[[#This Row],[gap5]]="NA",Table2[[#This Row],[round5]]&lt;4/24),0,IFERROR((MAX(starting_interval,IF(Table2[[#This Row],[gap5]]="NA",Table2[[#This Row],[avg gap]],Table2[[#This Row],[gap5]]))-starting_interval)*Table2[[#This Row],[followers5]]/Table2[[#This Row],[group size5]],""))</f>
        <v/>
      </c>
      <c r="AH118" s="32" t="str">
        <f>_xlfn.IFNA(VLOOKUP(Table2[[#This Row],[Name]],'Stableford - players'!$A$2:$B$65,2,FALSE),"")</f>
        <v/>
      </c>
      <c r="AI118" s="59" t="str">
        <f>IF(Table2[[#This Row],[tee time6]]&lt;&gt;"",COUNTIF('Stableford - players'!$B$2:$B$65,"="&amp;Table2[[#This Row],[tee time6]]),"")</f>
        <v/>
      </c>
      <c r="AJ118" s="59" t="str">
        <f>_xlfn.IFNA(VLOOKUP(Table2[[#This Row],[tee time6]],'Stableford - groups'!$A$3:$F$20,6,FALSE),"")</f>
        <v/>
      </c>
      <c r="AK118" s="11" t="str">
        <f>_xlfn.IFNA(VLOOKUP(Table2[[#This Row],[tee time6]],'Stableford - groups'!$A$3:$F$20,4,FALSE),"")</f>
        <v/>
      </c>
      <c r="AL118" s="13" t="str">
        <f>_xlfn.IFNA(VLOOKUP(Table2[[#This Row],[tee time6]],'Stableford - groups'!$A$3:$F$20,5,FALSE),"")</f>
        <v/>
      </c>
      <c r="AM118" s="68" t="str">
        <f>IF(AND(Table2[[#This Row],[gap6]]="NA",Table2[[#This Row],[round6]]&lt;4/24),0,IFERROR((MAX(starting_interval,IF(Table2[[#This Row],[gap6]]="NA",Table2[[#This Row],[avg gap]],Table2[[#This Row],[gap6]]))-starting_interval)*Table2[[#This Row],[followers6]]/Table2[[#This Row],[group size6]],""))</f>
        <v/>
      </c>
      <c r="AN118" s="32" t="str">
        <f>_xlfn.IFNA(VLOOKUP(Table2[[#This Row],[Name]],'Turkey Shoot - players'!$A$2:$B$65,2,FALSE),"")</f>
        <v/>
      </c>
      <c r="AO118" s="59" t="str">
        <f>IF(Table2[[#This Row],[tee time7]]&lt;&gt;"",COUNTIF('Turkey Shoot - players'!$B$2:$B$65,"="&amp;Table2[[#This Row],[tee time7]]),"")</f>
        <v/>
      </c>
      <c r="AP118" s="59" t="str">
        <f>_xlfn.IFNA(VLOOKUP(Table2[[#This Row],[tee time7]],'Stableford - groups'!$A$3:$F$20,6,FALSE),"")</f>
        <v/>
      </c>
      <c r="AQ118" s="11" t="str">
        <f>_xlfn.IFNA(VLOOKUP(Table2[[#This Row],[tee time7]],'Turkey Shoot - groups'!$A$3:$F$20,4,FALSE),"")</f>
        <v/>
      </c>
      <c r="AR118" s="13" t="str">
        <f>_xlfn.IFNA(VLOOKUP(Table2[[#This Row],[tee time7]],'Turkey Shoot - groups'!$A$3:$F$20,5,FALSE),"")</f>
        <v/>
      </c>
      <c r="AS118" s="68" t="str">
        <f>IF(AND(Table2[[#This Row],[gap7]]="NA",Table2[[#This Row],[round7]]&lt;4/24),0,IFERROR((MAX(starting_interval,IF(Table2[[#This Row],[gap7]]="NA",Table2[[#This Row],[avg gap]],Table2[[#This Row],[gap7]]))-starting_interval)*Table2[[#This Row],[followers7]]/Table2[[#This Row],[group size7]],""))</f>
        <v/>
      </c>
      <c r="AT118" s="72">
        <f>COUNT(Table2[[#This Row],[Tee time1]],Table2[[#This Row],[tee time2]],Table2[[#This Row],[tee time3]],Table2[[#This Row],[tee time4]],Table2[[#This Row],[tee time5]],Table2[[#This Row],[tee time6]],Table2[[#This Row],[tee time7]])</f>
        <v>1</v>
      </c>
      <c r="AU118" s="4">
        <f>IFERROR(AVERAGE(Table2[[#This Row],[Tee time1]],Table2[[#This Row],[tee time2]],Table2[[#This Row],[tee time3]],Table2[[#This Row],[tee time4]],Table2[[#This Row],[tee time5]],Table2[[#This Row],[tee time6]],Table2[[#This Row],[tee time7]]),"")</f>
        <v>0.35000000000000003</v>
      </c>
      <c r="AV118" s="11">
        <f>IFERROR(MEDIAN(Table2[[#This Row],[round1]],Table2[[#This Row],[Round2]],Table2[[#This Row],[round3]],Table2[[#This Row],[round4]],Table2[[#This Row],[round5]],Table2[[#This Row],[round6]],Table2[[#This Row],[round7]]),"")</f>
        <v>0.19027777777777771</v>
      </c>
      <c r="AW118" s="11">
        <f>IFERROR(AVERAGE(Table2[[#This Row],[gap1]],Table2[[#This Row],[gap2]],Table2[[#This Row],[gap3]],Table2[[#This Row],[gap4]],Table2[[#This Row],[gap5]],Table2[[#This Row],[gap6]],Table2[[#This Row],[gap7]]),"")</f>
        <v>6.2499999999999778E-3</v>
      </c>
      <c r="AX118" s="9">
        <f>IFERROR((Table2[[#This Row],[avg gap]]-starting_interval)*24*60*Table2[[#This Row],[Count]],"NA")</f>
        <v>-1.0000000000000315</v>
      </c>
      <c r="AY11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18" s="2"/>
    </row>
    <row r="119" spans="1:52" x14ac:dyDescent="0.3">
      <c r="A119" s="10" t="s">
        <v>20</v>
      </c>
      <c r="B119" s="1" t="s">
        <v>258</v>
      </c>
      <c r="C119" s="19">
        <v>18.399999999999999</v>
      </c>
      <c r="D119" s="32" t="str">
        <f>_xlfn.IFNA(VLOOKUP(Table2[[#This Row],[Name]],'Classic day 1 - players'!$A$2:$B$64,2,FALSE),"")</f>
        <v/>
      </c>
      <c r="E119" s="33" t="str">
        <f>IF(Table2[[#This Row],[Tee time1]]&lt;&gt;"",COUNTIF('Classic day 1 - players'!$B$2:$B$64,"="&amp;Table2[[#This Row],[Tee time1]]),"")</f>
        <v/>
      </c>
      <c r="F119" s="33" t="str">
        <f>_xlfn.IFNA(VLOOKUP(Table2[[#This Row],[Tee time1]],'Classic day 1 - groups'!$A$3:$F$20,6,FALSE),"")</f>
        <v/>
      </c>
      <c r="G119" s="11" t="str">
        <f>_xlfn.IFNA(VLOOKUP(Table2[[#This Row],[Tee time1]],'Classic day 1 - groups'!$A$3:$F$20,4,FALSE),"")</f>
        <v/>
      </c>
      <c r="H119" s="12" t="str">
        <f>_xlfn.IFNA(VLOOKUP(Table2[[#This Row],[Tee time1]],'Classic day 1 - groups'!$A$3:$F$20,5,FALSE),"")</f>
        <v/>
      </c>
      <c r="I119" s="69" t="str">
        <f>IFERROR((MAX(starting_interval,IF(Table2[[#This Row],[gap1]]="NA",Table2[[#This Row],[avg gap]],Table2[[#This Row],[gap1]]))-starting_interval)*Table2[[#This Row],[followers1]]/Table2[[#This Row],[group size]],"")</f>
        <v/>
      </c>
      <c r="J119" s="32" t="str">
        <f>_xlfn.IFNA(VLOOKUP(Table2[[#This Row],[Name]],'Classic day 2 - players'!$A$2:$B$64,2,FALSE),"")</f>
        <v/>
      </c>
      <c r="K119" s="33" t="str">
        <f>IF(Table2[[#This Row],[tee time2]]&lt;&gt;"",COUNTIF('Classic day 2 - players'!$B$2:$B$64,"="&amp;Table2[[#This Row],[tee time2]]),"")</f>
        <v/>
      </c>
      <c r="L119" s="33" t="str">
        <f>_xlfn.IFNA(VLOOKUP(Table2[[#This Row],[tee time2]],'Classic day 2 - groups'!$A$3:$F$20,6,FALSE),"")</f>
        <v/>
      </c>
      <c r="M119" s="4" t="str">
        <f>_xlfn.IFNA(VLOOKUP(Table2[[#This Row],[tee time2]],'Classic day 2 - groups'!$A$3:$F$20,4,FALSE),"")</f>
        <v/>
      </c>
      <c r="N119" s="65" t="str">
        <f>_xlfn.IFNA(VLOOKUP(Table2[[#This Row],[tee time2]],'Classic day 2 - groups'!$A$3:$F$20,5,FALSE),"")</f>
        <v/>
      </c>
      <c r="O119" s="69" t="str">
        <f>IFERROR((MAX(starting_interval,IF(Table2[[#This Row],[gap2]]="NA",Table2[[#This Row],[avg gap]],Table2[[#This Row],[gap2]]))-starting_interval)*Table2[[#This Row],[followers2]]/Table2[[#This Row],[group size2]],"")</f>
        <v/>
      </c>
      <c r="P119" s="32">
        <f>_xlfn.IFNA(VLOOKUP(Table2[[#This Row],[Name]],'Summer FD - players'!$A$2:$B$65,2,FALSE),"")</f>
        <v>0.39166666666666666</v>
      </c>
      <c r="Q119" s="59">
        <f>IF(Table2[[#This Row],[tee time3]]&lt;&gt;"",COUNTIF('Summer FD - players'!$B$2:$B$65,"="&amp;Table2[[#This Row],[tee time3]]),"")</f>
        <v>4</v>
      </c>
      <c r="R119" s="59">
        <f>_xlfn.IFNA(VLOOKUP(Table2[[#This Row],[tee time3]],'Summer FD - groups'!$A$3:$F$20,6,FALSE),"")</f>
        <v>28</v>
      </c>
      <c r="S119" s="4">
        <f>_xlfn.IFNA(VLOOKUP(Table2[[#This Row],[tee time3]],'Summer FD - groups'!$A$3:$F$20,4,FALSE),"")</f>
        <v>0.19722222222222224</v>
      </c>
      <c r="T119" s="13">
        <f>_xlfn.IFNA(VLOOKUP(Table2[[#This Row],[tee time3]],'Summer FD - groups'!$A$3:$F$20,5,FALSE),"")</f>
        <v>6.2499999999999778E-3</v>
      </c>
      <c r="U119" s="69">
        <f>IF(Table2[[#This Row],[avg gap]]&lt;&gt;"",IFERROR((MAX(starting_interval,IF(Table2[[#This Row],[gap3]]="NA",Table2[[#This Row],[avg gap]],Table2[[#This Row],[gap3]]))-starting_interval)*Table2[[#This Row],[followers3]]/Table2[[#This Row],[group size3]],""),"")</f>
        <v>0</v>
      </c>
      <c r="V119" s="32" t="str">
        <f>_xlfn.IFNA(VLOOKUP(Table2[[#This Row],[Name]],'6-6-6 - players'!$A$2:$B$69,2,FALSE),"")</f>
        <v/>
      </c>
      <c r="W119" s="59" t="str">
        <f>IF(Table2[[#This Row],[tee time4]]&lt;&gt;"",COUNTIF('6-6-6 - players'!$B$2:$B$69,"="&amp;Table2[[#This Row],[tee time4]]),"")</f>
        <v/>
      </c>
      <c r="X119" s="59" t="str">
        <f>_xlfn.IFNA(VLOOKUP(Table2[[#This Row],[tee time4]],'6-6-6 - groups'!$A$3:$F$20,6,FALSE),"")</f>
        <v/>
      </c>
      <c r="Y119" s="4" t="str">
        <f>_xlfn.IFNA(VLOOKUP(Table2[[#This Row],[tee time4]],'6-6-6 - groups'!$A$3:$F$20,4,FALSE),"")</f>
        <v/>
      </c>
      <c r="Z119" s="13" t="str">
        <f>_xlfn.IFNA(VLOOKUP(Table2[[#This Row],[tee time4]],'6-6-6 - groups'!$A$3:$F$20,5,FALSE),"")</f>
        <v/>
      </c>
      <c r="AA119" s="69" t="str">
        <f>IF(Table2[[#This Row],[avg gap]]&lt;&gt;"",IFERROR((MAX(starting_interval,IF(Table2[[#This Row],[gap4]]="NA",Table2[[#This Row],[avg gap]],Table2[[#This Row],[gap4]]))-starting_interval)*Table2[[#This Row],[followers4]]/Table2[[#This Row],[group size4]],""),"")</f>
        <v/>
      </c>
      <c r="AB119" s="32" t="str">
        <f>_xlfn.IFNA(VLOOKUP(Table2[[#This Row],[Name]],'Fall FD - players'!$A$2:$B$65,2,FALSE),"")</f>
        <v/>
      </c>
      <c r="AC119" s="59" t="str">
        <f>IF(Table2[[#This Row],[tee time5]]&lt;&gt;"",COUNTIF('Fall FD - players'!$B$2:$B$65,"="&amp;Table2[[#This Row],[tee time5]]),"")</f>
        <v/>
      </c>
      <c r="AD119" s="59" t="str">
        <f>_xlfn.IFNA(VLOOKUP(Table2[[#This Row],[tee time5]],'Fall FD - groups'!$A$3:$F$20,6,FALSE),"")</f>
        <v/>
      </c>
      <c r="AE119" s="4" t="str">
        <f>_xlfn.IFNA(VLOOKUP(Table2[[#This Row],[tee time5]],'Fall FD - groups'!$A$3:$F$20,4,FALSE),"")</f>
        <v/>
      </c>
      <c r="AF119" s="13" t="str">
        <f>IFERROR(MIN(_xlfn.IFNA(VLOOKUP(Table2[[#This Row],[tee time5]],'Fall FD - groups'!$A$3:$F$20,5,FALSE),""),starting_interval + Table2[[#This Row],[round5]] - standard_round_time),"")</f>
        <v/>
      </c>
      <c r="AG119" s="69" t="str">
        <f>IF(AND(Table2[[#This Row],[gap5]]="NA",Table2[[#This Row],[round5]]&lt;4/24),0,IFERROR((MAX(starting_interval,IF(Table2[[#This Row],[gap5]]="NA",Table2[[#This Row],[avg gap]],Table2[[#This Row],[gap5]]))-starting_interval)*Table2[[#This Row],[followers5]]/Table2[[#This Row],[group size5]],""))</f>
        <v/>
      </c>
      <c r="AH119" s="32" t="str">
        <f>_xlfn.IFNA(VLOOKUP(Table2[[#This Row],[Name]],'Stableford - players'!$A$2:$B$65,2,FALSE),"")</f>
        <v/>
      </c>
      <c r="AI119" s="59" t="str">
        <f>IF(Table2[[#This Row],[tee time6]]&lt;&gt;"",COUNTIF('Stableford - players'!$B$2:$B$65,"="&amp;Table2[[#This Row],[tee time6]]),"")</f>
        <v/>
      </c>
      <c r="AJ119" s="59" t="str">
        <f>_xlfn.IFNA(VLOOKUP(Table2[[#This Row],[tee time6]],'Stableford - groups'!$A$3:$F$20,6,FALSE),"")</f>
        <v/>
      </c>
      <c r="AK119" s="11" t="str">
        <f>_xlfn.IFNA(VLOOKUP(Table2[[#This Row],[tee time6]],'Stableford - groups'!$A$3:$F$20,4,FALSE),"")</f>
        <v/>
      </c>
      <c r="AL119" s="13" t="str">
        <f>_xlfn.IFNA(VLOOKUP(Table2[[#This Row],[tee time6]],'Stableford - groups'!$A$3:$F$20,5,FALSE),"")</f>
        <v/>
      </c>
      <c r="AM119" s="68" t="str">
        <f>IF(AND(Table2[[#This Row],[gap6]]="NA",Table2[[#This Row],[round6]]&lt;4/24),0,IFERROR((MAX(starting_interval,IF(Table2[[#This Row],[gap6]]="NA",Table2[[#This Row],[avg gap]],Table2[[#This Row],[gap6]]))-starting_interval)*Table2[[#This Row],[followers6]]/Table2[[#This Row],[group size6]],""))</f>
        <v/>
      </c>
      <c r="AN119" s="32" t="str">
        <f>_xlfn.IFNA(VLOOKUP(Table2[[#This Row],[Name]],'Turkey Shoot - players'!$A$2:$B$65,2,FALSE),"")</f>
        <v/>
      </c>
      <c r="AO119" s="59" t="str">
        <f>IF(Table2[[#This Row],[tee time7]]&lt;&gt;"",COUNTIF('Turkey Shoot - players'!$B$2:$B$65,"="&amp;Table2[[#This Row],[tee time7]]),"")</f>
        <v/>
      </c>
      <c r="AP119" s="59" t="str">
        <f>_xlfn.IFNA(VLOOKUP(Table2[[#This Row],[tee time7]],'Stableford - groups'!$A$3:$F$20,6,FALSE),"")</f>
        <v/>
      </c>
      <c r="AQ119" s="11" t="str">
        <f>_xlfn.IFNA(VLOOKUP(Table2[[#This Row],[tee time7]],'Turkey Shoot - groups'!$A$3:$F$20,4,FALSE),"")</f>
        <v/>
      </c>
      <c r="AR119" s="13" t="str">
        <f>_xlfn.IFNA(VLOOKUP(Table2[[#This Row],[tee time7]],'Turkey Shoot - groups'!$A$3:$F$20,5,FALSE),"")</f>
        <v/>
      </c>
      <c r="AS119" s="68" t="str">
        <f>IF(AND(Table2[[#This Row],[gap7]]="NA",Table2[[#This Row],[round7]]&lt;4/24),0,IFERROR((MAX(starting_interval,IF(Table2[[#This Row],[gap7]]="NA",Table2[[#This Row],[avg gap]],Table2[[#This Row],[gap7]]))-starting_interval)*Table2[[#This Row],[followers7]]/Table2[[#This Row],[group size7]],""))</f>
        <v/>
      </c>
      <c r="AT119" s="72">
        <f>COUNT(Table2[[#This Row],[Tee time1]],Table2[[#This Row],[tee time2]],Table2[[#This Row],[tee time3]],Table2[[#This Row],[tee time4]],Table2[[#This Row],[tee time5]],Table2[[#This Row],[tee time6]],Table2[[#This Row],[tee time7]])</f>
        <v>1</v>
      </c>
      <c r="AU119" s="4">
        <f>IFERROR(AVERAGE(Table2[[#This Row],[Tee time1]],Table2[[#This Row],[tee time2]],Table2[[#This Row],[tee time3]],Table2[[#This Row],[tee time4]],Table2[[#This Row],[tee time5]],Table2[[#This Row],[tee time6]],Table2[[#This Row],[tee time7]]),"")</f>
        <v>0.39166666666666666</v>
      </c>
      <c r="AV119" s="11">
        <f>IFERROR(MEDIAN(Table2[[#This Row],[round1]],Table2[[#This Row],[Round2]],Table2[[#This Row],[round3]],Table2[[#This Row],[round4]],Table2[[#This Row],[round5]],Table2[[#This Row],[round6]],Table2[[#This Row],[round7]]),"")</f>
        <v>0.19722222222222224</v>
      </c>
      <c r="AW119" s="11">
        <f>IFERROR(AVERAGE(Table2[[#This Row],[gap1]],Table2[[#This Row],[gap2]],Table2[[#This Row],[gap3]],Table2[[#This Row],[gap4]],Table2[[#This Row],[gap5]],Table2[[#This Row],[gap6]],Table2[[#This Row],[gap7]]),"")</f>
        <v>6.2499999999999778E-3</v>
      </c>
      <c r="AX119" s="9">
        <f>IFERROR((Table2[[#This Row],[avg gap]]-starting_interval)*24*60*Table2[[#This Row],[Count]],"NA")</f>
        <v>-1.0000000000000315</v>
      </c>
      <c r="AY11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19" s="2"/>
    </row>
    <row r="120" spans="1:52" x14ac:dyDescent="0.3">
      <c r="A120" s="10" t="s">
        <v>167</v>
      </c>
      <c r="B120" s="1" t="s">
        <v>408</v>
      </c>
      <c r="C120" s="19">
        <v>20.399999999999999</v>
      </c>
      <c r="D120" s="32" t="str">
        <f>_xlfn.IFNA(VLOOKUP(Table2[[#This Row],[Name]],'Classic day 1 - players'!$A$2:$B$64,2,FALSE),"")</f>
        <v/>
      </c>
      <c r="E120" s="33" t="str">
        <f>IF(Table2[[#This Row],[Tee time1]]&lt;&gt;"",COUNTIF('Classic day 1 - players'!$B$2:$B$64,"="&amp;Table2[[#This Row],[Tee time1]]),"")</f>
        <v/>
      </c>
      <c r="F120" s="33" t="str">
        <f>_xlfn.IFNA(VLOOKUP(Table2[[#This Row],[Tee time1]],'Classic day 1 - groups'!$A$3:$F$20,6,FALSE),"")</f>
        <v/>
      </c>
      <c r="G120" s="11" t="str">
        <f>_xlfn.IFNA(VLOOKUP(Table2[[#This Row],[Tee time1]],'Classic day 1 - groups'!$A$3:$F$20,4,FALSE),"")</f>
        <v/>
      </c>
      <c r="H120" s="12" t="str">
        <f>_xlfn.IFNA(VLOOKUP(Table2[[#This Row],[Tee time1]],'Classic day 1 - groups'!$A$3:$F$20,5,FALSE),"")</f>
        <v/>
      </c>
      <c r="I120" s="69" t="str">
        <f>IFERROR((MAX(starting_interval,IF(Table2[[#This Row],[gap1]]="NA",Table2[[#This Row],[avg gap]],Table2[[#This Row],[gap1]]))-starting_interval)*Table2[[#This Row],[followers1]]/Table2[[#This Row],[group size]],"")</f>
        <v/>
      </c>
      <c r="J120" s="32" t="str">
        <f>_xlfn.IFNA(VLOOKUP(Table2[[#This Row],[Name]],'Classic day 2 - players'!$A$2:$B$64,2,FALSE),"")</f>
        <v/>
      </c>
      <c r="K120" s="33" t="str">
        <f>IF(Table2[[#This Row],[tee time2]]&lt;&gt;"",COUNTIF('Classic day 2 - players'!$B$2:$B$64,"="&amp;Table2[[#This Row],[tee time2]]),"")</f>
        <v/>
      </c>
      <c r="L120" s="33" t="str">
        <f>_xlfn.IFNA(VLOOKUP(Table2[[#This Row],[tee time2]],'Classic day 2 - groups'!$A$3:$F$20,6,FALSE),"")</f>
        <v/>
      </c>
      <c r="M120" s="4" t="str">
        <f>_xlfn.IFNA(VLOOKUP(Table2[[#This Row],[tee time2]],'Classic day 2 - groups'!$A$3:$F$20,4,FALSE),"")</f>
        <v/>
      </c>
      <c r="N120" s="65" t="str">
        <f>_xlfn.IFNA(VLOOKUP(Table2[[#This Row],[tee time2]],'Classic day 2 - groups'!$A$3:$F$20,5,FALSE),"")</f>
        <v/>
      </c>
      <c r="O120" s="69" t="str">
        <f>IFERROR((MAX(starting_interval,IF(Table2[[#This Row],[gap2]]="NA",Table2[[#This Row],[avg gap]],Table2[[#This Row],[gap2]]))-starting_interval)*Table2[[#This Row],[followers2]]/Table2[[#This Row],[group size2]],"")</f>
        <v/>
      </c>
      <c r="P120" s="32">
        <f>_xlfn.IFNA(VLOOKUP(Table2[[#This Row],[Name]],'Summer FD - players'!$A$2:$B$65,2,FALSE),"")</f>
        <v>0.39166666666666666</v>
      </c>
      <c r="Q120" s="59">
        <f>IF(Table2[[#This Row],[tee time3]]&lt;&gt;"",COUNTIF('Summer FD - players'!$B$2:$B$65,"="&amp;Table2[[#This Row],[tee time3]]),"")</f>
        <v>4</v>
      </c>
      <c r="R120" s="59">
        <f>_xlfn.IFNA(VLOOKUP(Table2[[#This Row],[tee time3]],'Summer FD - groups'!$A$3:$F$20,6,FALSE),"")</f>
        <v>28</v>
      </c>
      <c r="S120" s="4">
        <f>_xlfn.IFNA(VLOOKUP(Table2[[#This Row],[tee time3]],'Summer FD - groups'!$A$3:$F$20,4,FALSE),"")</f>
        <v>0.19722222222222224</v>
      </c>
      <c r="T120" s="13">
        <f>_xlfn.IFNA(VLOOKUP(Table2[[#This Row],[tee time3]],'Summer FD - groups'!$A$3:$F$20,5,FALSE),"")</f>
        <v>6.2499999999999778E-3</v>
      </c>
      <c r="U120" s="69">
        <f>IF(Table2[[#This Row],[avg gap]]&lt;&gt;"",IFERROR((MAX(starting_interval,IF(Table2[[#This Row],[gap3]]="NA",Table2[[#This Row],[avg gap]],Table2[[#This Row],[gap3]]))-starting_interval)*Table2[[#This Row],[followers3]]/Table2[[#This Row],[group size3]],""),"")</f>
        <v>0</v>
      </c>
      <c r="V120" s="32" t="str">
        <f>_xlfn.IFNA(VLOOKUP(Table2[[#This Row],[Name]],'6-6-6 - players'!$A$2:$B$69,2,FALSE),"")</f>
        <v/>
      </c>
      <c r="W120" s="59" t="str">
        <f>IF(Table2[[#This Row],[tee time4]]&lt;&gt;"",COUNTIF('6-6-6 - players'!$B$2:$B$69,"="&amp;Table2[[#This Row],[tee time4]]),"")</f>
        <v/>
      </c>
      <c r="X120" s="59" t="str">
        <f>_xlfn.IFNA(VLOOKUP(Table2[[#This Row],[tee time4]],'6-6-6 - groups'!$A$3:$F$20,6,FALSE),"")</f>
        <v/>
      </c>
      <c r="Y120" s="4" t="str">
        <f>_xlfn.IFNA(VLOOKUP(Table2[[#This Row],[tee time4]],'6-6-6 - groups'!$A$3:$F$20,4,FALSE),"")</f>
        <v/>
      </c>
      <c r="Z120" s="13" t="str">
        <f>_xlfn.IFNA(VLOOKUP(Table2[[#This Row],[tee time4]],'6-6-6 - groups'!$A$3:$F$20,5,FALSE),"")</f>
        <v/>
      </c>
      <c r="AA120" s="69" t="str">
        <f>IF(Table2[[#This Row],[avg gap]]&lt;&gt;"",IFERROR((MAX(starting_interval,IF(Table2[[#This Row],[gap4]]="NA",Table2[[#This Row],[avg gap]],Table2[[#This Row],[gap4]]))-starting_interval)*Table2[[#This Row],[followers4]]/Table2[[#This Row],[group size4]],""),"")</f>
        <v/>
      </c>
      <c r="AB120" s="32" t="str">
        <f>_xlfn.IFNA(VLOOKUP(Table2[[#This Row],[Name]],'Fall FD - players'!$A$2:$B$65,2,FALSE),"")</f>
        <v/>
      </c>
      <c r="AC120" s="59" t="str">
        <f>IF(Table2[[#This Row],[tee time5]]&lt;&gt;"",COUNTIF('Fall FD - players'!$B$2:$B$65,"="&amp;Table2[[#This Row],[tee time5]]),"")</f>
        <v/>
      </c>
      <c r="AD120" s="59" t="str">
        <f>_xlfn.IFNA(VLOOKUP(Table2[[#This Row],[tee time5]],'Fall FD - groups'!$A$3:$F$20,6,FALSE),"")</f>
        <v/>
      </c>
      <c r="AE120" s="4" t="str">
        <f>_xlfn.IFNA(VLOOKUP(Table2[[#This Row],[tee time5]],'Fall FD - groups'!$A$3:$F$20,4,FALSE),"")</f>
        <v/>
      </c>
      <c r="AF120" s="13" t="str">
        <f>IFERROR(MIN(_xlfn.IFNA(VLOOKUP(Table2[[#This Row],[tee time5]],'Fall FD - groups'!$A$3:$F$20,5,FALSE),""),starting_interval + Table2[[#This Row],[round5]] - standard_round_time),"")</f>
        <v/>
      </c>
      <c r="AG120" s="69" t="str">
        <f>IF(AND(Table2[[#This Row],[gap5]]="NA",Table2[[#This Row],[round5]]&lt;4/24),0,IFERROR((MAX(starting_interval,IF(Table2[[#This Row],[gap5]]="NA",Table2[[#This Row],[avg gap]],Table2[[#This Row],[gap5]]))-starting_interval)*Table2[[#This Row],[followers5]]/Table2[[#This Row],[group size5]],""))</f>
        <v/>
      </c>
      <c r="AH120" s="32" t="str">
        <f>_xlfn.IFNA(VLOOKUP(Table2[[#This Row],[Name]],'Stableford - players'!$A$2:$B$65,2,FALSE),"")</f>
        <v/>
      </c>
      <c r="AI120" s="59" t="str">
        <f>IF(Table2[[#This Row],[tee time6]]&lt;&gt;"",COUNTIF('Stableford - players'!$B$2:$B$65,"="&amp;Table2[[#This Row],[tee time6]]),"")</f>
        <v/>
      </c>
      <c r="AJ120" s="59" t="str">
        <f>_xlfn.IFNA(VLOOKUP(Table2[[#This Row],[tee time6]],'Stableford - groups'!$A$3:$F$20,6,FALSE),"")</f>
        <v/>
      </c>
      <c r="AK120" s="11" t="str">
        <f>_xlfn.IFNA(VLOOKUP(Table2[[#This Row],[tee time6]],'Stableford - groups'!$A$3:$F$20,4,FALSE),"")</f>
        <v/>
      </c>
      <c r="AL120" s="13" t="str">
        <f>_xlfn.IFNA(VLOOKUP(Table2[[#This Row],[tee time6]],'Stableford - groups'!$A$3:$F$20,5,FALSE),"")</f>
        <v/>
      </c>
      <c r="AM120" s="68" t="str">
        <f>IF(AND(Table2[[#This Row],[gap6]]="NA",Table2[[#This Row],[round6]]&lt;4/24),0,IFERROR((MAX(starting_interval,IF(Table2[[#This Row],[gap6]]="NA",Table2[[#This Row],[avg gap]],Table2[[#This Row],[gap6]]))-starting_interval)*Table2[[#This Row],[followers6]]/Table2[[#This Row],[group size6]],""))</f>
        <v/>
      </c>
      <c r="AN120" s="32" t="str">
        <f>_xlfn.IFNA(VLOOKUP(Table2[[#This Row],[Name]],'Turkey Shoot - players'!$A$2:$B$65,2,FALSE),"")</f>
        <v/>
      </c>
      <c r="AO120" s="59" t="str">
        <f>IF(Table2[[#This Row],[tee time7]]&lt;&gt;"",COUNTIF('Turkey Shoot - players'!$B$2:$B$65,"="&amp;Table2[[#This Row],[tee time7]]),"")</f>
        <v/>
      </c>
      <c r="AP120" s="59" t="str">
        <f>_xlfn.IFNA(VLOOKUP(Table2[[#This Row],[tee time7]],'Stableford - groups'!$A$3:$F$20,6,FALSE),"")</f>
        <v/>
      </c>
      <c r="AQ120" s="11" t="str">
        <f>_xlfn.IFNA(VLOOKUP(Table2[[#This Row],[tee time7]],'Turkey Shoot - groups'!$A$3:$F$20,4,FALSE),"")</f>
        <v/>
      </c>
      <c r="AR120" s="13" t="str">
        <f>_xlfn.IFNA(VLOOKUP(Table2[[#This Row],[tee time7]],'Turkey Shoot - groups'!$A$3:$F$20,5,FALSE),"")</f>
        <v/>
      </c>
      <c r="AS120" s="68" t="str">
        <f>IF(AND(Table2[[#This Row],[gap7]]="NA",Table2[[#This Row],[round7]]&lt;4/24),0,IFERROR((MAX(starting_interval,IF(Table2[[#This Row],[gap7]]="NA",Table2[[#This Row],[avg gap]],Table2[[#This Row],[gap7]]))-starting_interval)*Table2[[#This Row],[followers7]]/Table2[[#This Row],[group size7]],""))</f>
        <v/>
      </c>
      <c r="AT120" s="72">
        <f>COUNT(Table2[[#This Row],[Tee time1]],Table2[[#This Row],[tee time2]],Table2[[#This Row],[tee time3]],Table2[[#This Row],[tee time4]],Table2[[#This Row],[tee time5]],Table2[[#This Row],[tee time6]],Table2[[#This Row],[tee time7]])</f>
        <v>1</v>
      </c>
      <c r="AU120" s="4">
        <f>IFERROR(AVERAGE(Table2[[#This Row],[Tee time1]],Table2[[#This Row],[tee time2]],Table2[[#This Row],[tee time3]],Table2[[#This Row],[tee time4]],Table2[[#This Row],[tee time5]],Table2[[#This Row],[tee time6]],Table2[[#This Row],[tee time7]]),"")</f>
        <v>0.39166666666666666</v>
      </c>
      <c r="AV120" s="11">
        <f>IFERROR(MEDIAN(Table2[[#This Row],[round1]],Table2[[#This Row],[Round2]],Table2[[#This Row],[round3]],Table2[[#This Row],[round4]],Table2[[#This Row],[round5]],Table2[[#This Row],[round6]],Table2[[#This Row],[round7]]),"")</f>
        <v>0.19722222222222224</v>
      </c>
      <c r="AW120" s="11">
        <f>IFERROR(AVERAGE(Table2[[#This Row],[gap1]],Table2[[#This Row],[gap2]],Table2[[#This Row],[gap3]],Table2[[#This Row],[gap4]],Table2[[#This Row],[gap5]],Table2[[#This Row],[gap6]],Table2[[#This Row],[gap7]]),"")</f>
        <v>6.2499999999999778E-3</v>
      </c>
      <c r="AX120" s="9">
        <f>IFERROR((Table2[[#This Row],[avg gap]]-starting_interval)*24*60*Table2[[#This Row],[Count]],"NA")</f>
        <v>-1.0000000000000315</v>
      </c>
      <c r="AY12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20" s="2"/>
    </row>
    <row r="121" spans="1:52" x14ac:dyDescent="0.3">
      <c r="A121" s="10" t="s">
        <v>107</v>
      </c>
      <c r="B121" s="1" t="s">
        <v>347</v>
      </c>
      <c r="C121" s="19">
        <v>4.0999999999999996</v>
      </c>
      <c r="D121" s="32" t="str">
        <f>_xlfn.IFNA(VLOOKUP(Table2[[#This Row],[Name]],'Classic day 1 - players'!$A$2:$B$64,2,FALSE),"")</f>
        <v/>
      </c>
      <c r="E121" s="33" t="str">
        <f>IF(Table2[[#This Row],[Tee time1]]&lt;&gt;"",COUNTIF('Classic day 1 - players'!$B$2:$B$64,"="&amp;Table2[[#This Row],[Tee time1]]),"")</f>
        <v/>
      </c>
      <c r="F121" s="4" t="str">
        <f>_xlfn.IFNA(VLOOKUP(Table2[[#This Row],[Tee time1]],'Classic day 1 - groups'!$A$3:$F$20,6,FALSE),"")</f>
        <v/>
      </c>
      <c r="G121" s="11" t="str">
        <f>_xlfn.IFNA(VLOOKUP(Table2[[#This Row],[Tee time1]],'Classic day 1 - groups'!$A$3:$F$20,4,FALSE),"")</f>
        <v/>
      </c>
      <c r="H121" s="12" t="str">
        <f>_xlfn.IFNA(VLOOKUP(Table2[[#This Row],[Tee time1]],'Classic day 1 - groups'!$A$3:$F$20,5,FALSE),"")</f>
        <v/>
      </c>
      <c r="I121" s="69" t="str">
        <f>IFERROR((MAX(starting_interval,IF(Table2[[#This Row],[gap1]]="NA",Table2[[#This Row],[avg gap]],Table2[[#This Row],[gap1]]))-starting_interval)*Table2[[#This Row],[followers1]]/Table2[[#This Row],[group size]],"")</f>
        <v/>
      </c>
      <c r="J121" s="32" t="str">
        <f>_xlfn.IFNA(VLOOKUP(Table2[[#This Row],[Name]],'Classic day 2 - players'!$A$2:$B$64,2,FALSE),"")</f>
        <v/>
      </c>
      <c r="K121" s="4" t="str">
        <f>IF(Table2[[#This Row],[tee time2]]&lt;&gt;"",COUNTIF('Classic day 2 - players'!$B$2:$B$64,"="&amp;Table2[[#This Row],[tee time2]]),"")</f>
        <v/>
      </c>
      <c r="L121" s="4" t="str">
        <f>_xlfn.IFNA(VLOOKUP(Table2[[#This Row],[tee time2]],'Classic day 2 - groups'!$A$3:$F$20,6,FALSE),"")</f>
        <v/>
      </c>
      <c r="M121" s="4" t="str">
        <f>_xlfn.IFNA(VLOOKUP(Table2[[#This Row],[tee time2]],'Classic day 2 - groups'!$A$3:$F$20,4,FALSE),"")</f>
        <v/>
      </c>
      <c r="N121" s="65" t="str">
        <f>_xlfn.IFNA(VLOOKUP(Table2[[#This Row],[tee time2]],'Classic day 2 - groups'!$A$3:$F$20,5,FALSE),"")</f>
        <v/>
      </c>
      <c r="O121" s="69" t="str">
        <f>IFERROR((MAX(starting_interval,IF(Table2[[#This Row],[gap2]]="NA",Table2[[#This Row],[avg gap]],Table2[[#This Row],[gap2]]))-starting_interval)*Table2[[#This Row],[followers2]]/Table2[[#This Row],[group size2]],"")</f>
        <v/>
      </c>
      <c r="P121" s="32" t="str">
        <f>_xlfn.IFNA(VLOOKUP(Table2[[#This Row],[Name]],'Summer FD - players'!$A$2:$B$65,2,FALSE),"")</f>
        <v/>
      </c>
      <c r="Q121" s="59" t="str">
        <f>IF(Table2[[#This Row],[tee time3]]&lt;&gt;"",COUNTIF('Summer FD - players'!$B$2:$B$65,"="&amp;Table2[[#This Row],[tee time3]]),"")</f>
        <v/>
      </c>
      <c r="R121" s="59" t="str">
        <f>_xlfn.IFNA(VLOOKUP(Table2[[#This Row],[tee time3]],'Summer FD - groups'!$A$3:$F$20,6,FALSE),"")</f>
        <v/>
      </c>
      <c r="S121" s="4" t="str">
        <f>_xlfn.IFNA(VLOOKUP(Table2[[#This Row],[tee time3]],'Summer FD - groups'!$A$3:$F$20,4,FALSE),"")</f>
        <v/>
      </c>
      <c r="T121" s="13" t="str">
        <f>_xlfn.IFNA(VLOOKUP(Table2[[#This Row],[tee time3]],'Summer FD - groups'!$A$3:$F$20,5,FALSE),"")</f>
        <v/>
      </c>
      <c r="U121" s="69" t="str">
        <f>IF(Table2[[#This Row],[avg gap]]&lt;&gt;"",IFERROR((MAX(starting_interval,IF(Table2[[#This Row],[gap3]]="NA",Table2[[#This Row],[avg gap]],Table2[[#This Row],[gap3]]))-starting_interval)*Table2[[#This Row],[followers3]]/Table2[[#This Row],[group size3]],""),"")</f>
        <v/>
      </c>
      <c r="V121" s="32" t="str">
        <f>_xlfn.IFNA(VLOOKUP(Table2[[#This Row],[Name]],'6-6-6 - players'!$A$2:$B$69,2,FALSE),"")</f>
        <v/>
      </c>
      <c r="W121" s="59" t="str">
        <f>IF(Table2[[#This Row],[tee time4]]&lt;&gt;"",COUNTIF('6-6-6 - players'!$B$2:$B$69,"="&amp;Table2[[#This Row],[tee time4]]),"")</f>
        <v/>
      </c>
      <c r="X121" s="59" t="str">
        <f>_xlfn.IFNA(VLOOKUP(Table2[[#This Row],[tee time4]],'6-6-6 - groups'!$A$3:$F$20,6,FALSE),"")</f>
        <v/>
      </c>
      <c r="Y121" s="4" t="str">
        <f>_xlfn.IFNA(VLOOKUP(Table2[[#This Row],[tee time4]],'6-6-6 - groups'!$A$3:$F$20,4,FALSE),"")</f>
        <v/>
      </c>
      <c r="Z121" s="13" t="str">
        <f>_xlfn.IFNA(VLOOKUP(Table2[[#This Row],[tee time4]],'6-6-6 - groups'!$A$3:$F$20,5,FALSE),"")</f>
        <v/>
      </c>
      <c r="AA121" s="69" t="str">
        <f>IF(Table2[[#This Row],[avg gap]]&lt;&gt;"",IFERROR((MAX(starting_interval,IF(Table2[[#This Row],[gap4]]="NA",Table2[[#This Row],[avg gap]],Table2[[#This Row],[gap4]]))-starting_interval)*Table2[[#This Row],[followers4]]/Table2[[#This Row],[group size4]],""),"")</f>
        <v/>
      </c>
      <c r="AB121" s="32" t="str">
        <f>_xlfn.IFNA(VLOOKUP(Table2[[#This Row],[Name]],'Fall FD - players'!$A$2:$B$65,2,FALSE),"")</f>
        <v/>
      </c>
      <c r="AC121" s="59" t="str">
        <f>IF(Table2[[#This Row],[tee time5]]&lt;&gt;"",COUNTIF('Fall FD - players'!$B$2:$B$65,"="&amp;Table2[[#This Row],[tee time5]]),"")</f>
        <v/>
      </c>
      <c r="AD121" s="59" t="str">
        <f>_xlfn.IFNA(VLOOKUP(Table2[[#This Row],[tee time5]],'Fall FD - groups'!$A$3:$F$20,6,FALSE),"")</f>
        <v/>
      </c>
      <c r="AE121" s="4" t="str">
        <f>_xlfn.IFNA(VLOOKUP(Table2[[#This Row],[tee time5]],'Fall FD - groups'!$A$3:$F$20,4,FALSE),"")</f>
        <v/>
      </c>
      <c r="AF121" s="13" t="str">
        <f>IFERROR(MIN(_xlfn.IFNA(VLOOKUP(Table2[[#This Row],[tee time5]],'Fall FD - groups'!$A$3:$F$20,5,FALSE),""),starting_interval + Table2[[#This Row],[round5]] - standard_round_time),"")</f>
        <v/>
      </c>
      <c r="AG121" s="69" t="str">
        <f>IF(AND(Table2[[#This Row],[gap5]]="NA",Table2[[#This Row],[round5]]&lt;4/24),0,IFERROR((MAX(starting_interval,IF(Table2[[#This Row],[gap5]]="NA",Table2[[#This Row],[avg gap]],Table2[[#This Row],[gap5]]))-starting_interval)*Table2[[#This Row],[followers5]]/Table2[[#This Row],[group size5]],""))</f>
        <v/>
      </c>
      <c r="AH121" s="32">
        <f>_xlfn.IFNA(VLOOKUP(Table2[[#This Row],[Name]],'Stableford - players'!$A$2:$B$65,2,FALSE),"")</f>
        <v>0.43055555555555558</v>
      </c>
      <c r="AI121" s="59">
        <f>IF(Table2[[#This Row],[tee time6]]&lt;&gt;"",COUNTIF('Stableford - players'!$B$2:$B$65,"="&amp;Table2[[#This Row],[tee time6]]),"")</f>
        <v>4</v>
      </c>
      <c r="AJ121" s="59">
        <f>_xlfn.IFNA(VLOOKUP(Table2[[#This Row],[tee time6]],'Stableford - groups'!$A$3:$F$20,6,FALSE),"")</f>
        <v>4</v>
      </c>
      <c r="AK121" s="11">
        <f>_xlfn.IFNA(VLOOKUP(Table2[[#This Row],[tee time6]],'Stableford - groups'!$A$3:$F$20,4,FALSE),"")</f>
        <v>0.17083333333333328</v>
      </c>
      <c r="AL121" s="13">
        <f>_xlfn.IFNA(VLOOKUP(Table2[[#This Row],[tee time6]],'Stableford - groups'!$A$3:$F$20,5,FALSE),"")</f>
        <v>5.5555555555555358E-3</v>
      </c>
      <c r="AM121" s="68">
        <f>IF(AND(Table2[[#This Row],[gap6]]="NA",Table2[[#This Row],[round6]]&lt;4/24),0,IFERROR((MAX(starting_interval,IF(Table2[[#This Row],[gap6]]="NA",Table2[[#This Row],[avg gap]],Table2[[#This Row],[gap6]]))-starting_interval)*Table2[[#This Row],[followers6]]/Table2[[#This Row],[group size6]],""))</f>
        <v>0</v>
      </c>
      <c r="AN121" s="32" t="str">
        <f>_xlfn.IFNA(VLOOKUP(Table2[[#This Row],[Name]],'Turkey Shoot - players'!$A$2:$B$65,2,FALSE),"")</f>
        <v/>
      </c>
      <c r="AO121" s="59" t="str">
        <f>IF(Table2[[#This Row],[tee time7]]&lt;&gt;"",COUNTIF('Turkey Shoot - players'!$B$2:$B$65,"="&amp;Table2[[#This Row],[tee time7]]),"")</f>
        <v/>
      </c>
      <c r="AP121" s="59" t="str">
        <f>_xlfn.IFNA(VLOOKUP(Table2[[#This Row],[tee time7]],'Stableford - groups'!$A$3:$F$20,6,FALSE),"")</f>
        <v/>
      </c>
      <c r="AQ121" s="11" t="str">
        <f>_xlfn.IFNA(VLOOKUP(Table2[[#This Row],[tee time7]],'Turkey Shoot - groups'!$A$3:$F$20,4,FALSE),"")</f>
        <v/>
      </c>
      <c r="AR121" s="13" t="str">
        <f>_xlfn.IFNA(VLOOKUP(Table2[[#This Row],[tee time7]],'Turkey Shoot - groups'!$A$3:$F$20,5,FALSE),"")</f>
        <v/>
      </c>
      <c r="AS121" s="68" t="str">
        <f>IF(AND(Table2[[#This Row],[gap7]]="NA",Table2[[#This Row],[round7]]&lt;4/24),0,IFERROR((MAX(starting_interval,IF(Table2[[#This Row],[gap7]]="NA",Table2[[#This Row],[avg gap]],Table2[[#This Row],[gap7]]))-starting_interval)*Table2[[#This Row],[followers7]]/Table2[[#This Row],[group size7]],""))</f>
        <v/>
      </c>
      <c r="AT121" s="72">
        <f>COUNT(Table2[[#This Row],[Tee time1]],Table2[[#This Row],[tee time2]],Table2[[#This Row],[tee time3]],Table2[[#This Row],[tee time4]],Table2[[#This Row],[tee time5]],Table2[[#This Row],[tee time6]],Table2[[#This Row],[tee time7]])</f>
        <v>1</v>
      </c>
      <c r="AU121" s="4">
        <f>IFERROR(AVERAGE(Table2[[#This Row],[Tee time1]],Table2[[#This Row],[tee time2]],Table2[[#This Row],[tee time3]],Table2[[#This Row],[tee time4]],Table2[[#This Row],[tee time5]],Table2[[#This Row],[tee time6]],Table2[[#This Row],[tee time7]]),"")</f>
        <v>0.43055555555555558</v>
      </c>
      <c r="AV121" s="11">
        <f>IFERROR(MEDIAN(Table2[[#This Row],[round1]],Table2[[#This Row],[Round2]],Table2[[#This Row],[round3]],Table2[[#This Row],[round4]],Table2[[#This Row],[round5]],Table2[[#This Row],[round6]],Table2[[#This Row],[round7]]),"")</f>
        <v>0.17083333333333328</v>
      </c>
      <c r="AW121" s="11">
        <f>IFERROR(AVERAGE(Table2[[#This Row],[gap1]],Table2[[#This Row],[gap2]],Table2[[#This Row],[gap3]],Table2[[#This Row],[gap4]],Table2[[#This Row],[gap5]],Table2[[#This Row],[gap6]],Table2[[#This Row],[gap7]]),"")</f>
        <v>5.5555555555555358E-3</v>
      </c>
      <c r="AX121" s="9">
        <f>IFERROR((Table2[[#This Row],[avg gap]]-starting_interval)*24*60*Table2[[#This Row],[Count]],"NA")</f>
        <v>-2.000000000000028</v>
      </c>
      <c r="AY12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21" s="2"/>
    </row>
    <row r="122" spans="1:52" x14ac:dyDescent="0.3">
      <c r="A122" s="10" t="s">
        <v>35</v>
      </c>
      <c r="B122" s="1" t="s">
        <v>273</v>
      </c>
      <c r="C122" s="19">
        <v>22.9</v>
      </c>
      <c r="D122" s="32" t="str">
        <f>_xlfn.IFNA(VLOOKUP(Table2[[#This Row],[Name]],'Classic day 1 - players'!$A$2:$B$64,2,FALSE),"")</f>
        <v/>
      </c>
      <c r="E122" s="33" t="str">
        <f>IF(Table2[[#This Row],[Tee time1]]&lt;&gt;"",COUNTIF('Classic day 1 - players'!$B$2:$B$64,"="&amp;Table2[[#This Row],[Tee time1]]),"")</f>
        <v/>
      </c>
      <c r="F122" s="33" t="str">
        <f>_xlfn.IFNA(VLOOKUP(Table2[[#This Row],[Tee time1]],'Classic day 1 - groups'!$A$3:$F$20,6,FALSE),"")</f>
        <v/>
      </c>
      <c r="G122" s="11" t="str">
        <f>_xlfn.IFNA(VLOOKUP(Table2[[#This Row],[Tee time1]],'Classic day 1 - groups'!$A$3:$F$20,4,FALSE),"")</f>
        <v/>
      </c>
      <c r="H122" s="12" t="str">
        <f>_xlfn.IFNA(VLOOKUP(Table2[[#This Row],[Tee time1]],'Classic day 1 - groups'!$A$3:$F$20,5,FALSE),"")</f>
        <v/>
      </c>
      <c r="I122" s="69" t="str">
        <f>IFERROR((MAX(starting_interval,IF(Table2[[#This Row],[gap1]]="NA",Table2[[#This Row],[avg gap]],Table2[[#This Row],[gap1]]))-starting_interval)*Table2[[#This Row],[followers1]]/Table2[[#This Row],[group size]],"")</f>
        <v/>
      </c>
      <c r="J122" s="32" t="str">
        <f>_xlfn.IFNA(VLOOKUP(Table2[[#This Row],[Name]],'Classic day 2 - players'!$A$2:$B$64,2,FALSE),"")</f>
        <v/>
      </c>
      <c r="K122" s="33" t="str">
        <f>IF(Table2[[#This Row],[tee time2]]&lt;&gt;"",COUNTIF('Classic day 2 - players'!$B$2:$B$64,"="&amp;Table2[[#This Row],[tee time2]]),"")</f>
        <v/>
      </c>
      <c r="L122" s="33" t="str">
        <f>_xlfn.IFNA(VLOOKUP(Table2[[#This Row],[tee time2]],'Classic day 2 - groups'!$A$3:$F$20,6,FALSE),"")</f>
        <v/>
      </c>
      <c r="M122" s="4" t="str">
        <f>_xlfn.IFNA(VLOOKUP(Table2[[#This Row],[tee time2]],'Classic day 2 - groups'!$A$3:$F$20,4,FALSE),"")</f>
        <v/>
      </c>
      <c r="N122" s="65" t="str">
        <f>_xlfn.IFNA(VLOOKUP(Table2[[#This Row],[tee time2]],'Classic day 2 - groups'!$A$3:$F$20,5,FALSE),"")</f>
        <v/>
      </c>
      <c r="O122" s="69" t="str">
        <f>IFERROR((MAX(starting_interval,IF(Table2[[#This Row],[gap2]]="NA",Table2[[#This Row],[avg gap]],Table2[[#This Row],[gap2]]))-starting_interval)*Table2[[#This Row],[followers2]]/Table2[[#This Row],[group size2]],"")</f>
        <v/>
      </c>
      <c r="P122" s="32">
        <f>_xlfn.IFNA(VLOOKUP(Table2[[#This Row],[Name]],'Summer FD - players'!$A$2:$B$65,2,FALSE),"")</f>
        <v>0.41944444444444445</v>
      </c>
      <c r="Q122" s="59">
        <f>IF(Table2[[#This Row],[tee time3]]&lt;&gt;"",COUNTIF('Summer FD - players'!$B$2:$B$65,"="&amp;Table2[[#This Row],[tee time3]]),"")</f>
        <v>4</v>
      </c>
      <c r="R122" s="59">
        <f>_xlfn.IFNA(VLOOKUP(Table2[[#This Row],[tee time3]],'Summer FD - groups'!$A$3:$F$20,6,FALSE),"")</f>
        <v>12</v>
      </c>
      <c r="S122" s="4">
        <f>_xlfn.IFNA(VLOOKUP(Table2[[#This Row],[tee time3]],'Summer FD - groups'!$A$3:$F$20,4,FALSE),"")</f>
        <v>0.19513888888888892</v>
      </c>
      <c r="T122" s="13">
        <f>_xlfn.IFNA(VLOOKUP(Table2[[#This Row],[tee time3]],'Summer FD - groups'!$A$3:$F$20,5,FALSE),"")</f>
        <v>5.5555555555555358E-3</v>
      </c>
      <c r="U122" s="69">
        <f>IF(Table2[[#This Row],[avg gap]]&lt;&gt;"",IFERROR((MAX(starting_interval,IF(Table2[[#This Row],[gap3]]="NA",Table2[[#This Row],[avg gap]],Table2[[#This Row],[gap3]]))-starting_interval)*Table2[[#This Row],[followers3]]/Table2[[#This Row],[group size3]],""),"")</f>
        <v>0</v>
      </c>
      <c r="V122" s="32" t="str">
        <f>_xlfn.IFNA(VLOOKUP(Table2[[#This Row],[Name]],'6-6-6 - players'!$A$2:$B$69,2,FALSE),"")</f>
        <v/>
      </c>
      <c r="W122" s="59" t="str">
        <f>IF(Table2[[#This Row],[tee time4]]&lt;&gt;"",COUNTIF('6-6-6 - players'!$B$2:$B$69,"="&amp;Table2[[#This Row],[tee time4]]),"")</f>
        <v/>
      </c>
      <c r="X122" s="59" t="str">
        <f>_xlfn.IFNA(VLOOKUP(Table2[[#This Row],[tee time4]],'6-6-6 - groups'!$A$3:$F$20,6,FALSE),"")</f>
        <v/>
      </c>
      <c r="Y122" s="4" t="str">
        <f>_xlfn.IFNA(VLOOKUP(Table2[[#This Row],[tee time4]],'6-6-6 - groups'!$A$3:$F$20,4,FALSE),"")</f>
        <v/>
      </c>
      <c r="Z122" s="13" t="str">
        <f>_xlfn.IFNA(VLOOKUP(Table2[[#This Row],[tee time4]],'6-6-6 - groups'!$A$3:$F$20,5,FALSE),"")</f>
        <v/>
      </c>
      <c r="AA122" s="69" t="str">
        <f>IF(Table2[[#This Row],[avg gap]]&lt;&gt;"",IFERROR((MAX(starting_interval,IF(Table2[[#This Row],[gap4]]="NA",Table2[[#This Row],[avg gap]],Table2[[#This Row],[gap4]]))-starting_interval)*Table2[[#This Row],[followers4]]/Table2[[#This Row],[group size4]],""),"")</f>
        <v/>
      </c>
      <c r="AB122" s="32" t="str">
        <f>_xlfn.IFNA(VLOOKUP(Table2[[#This Row],[Name]],'Fall FD - players'!$A$2:$B$65,2,FALSE),"")</f>
        <v/>
      </c>
      <c r="AC122" s="59" t="str">
        <f>IF(Table2[[#This Row],[tee time5]]&lt;&gt;"",COUNTIF('Fall FD - players'!$B$2:$B$65,"="&amp;Table2[[#This Row],[tee time5]]),"")</f>
        <v/>
      </c>
      <c r="AD122" s="59" t="str">
        <f>_xlfn.IFNA(VLOOKUP(Table2[[#This Row],[tee time5]],'Fall FD - groups'!$A$3:$F$20,6,FALSE),"")</f>
        <v/>
      </c>
      <c r="AE122" s="4" t="str">
        <f>_xlfn.IFNA(VLOOKUP(Table2[[#This Row],[tee time5]],'Fall FD - groups'!$A$3:$F$20,4,FALSE),"")</f>
        <v/>
      </c>
      <c r="AF122" s="13" t="str">
        <f>IFERROR(MIN(_xlfn.IFNA(VLOOKUP(Table2[[#This Row],[tee time5]],'Fall FD - groups'!$A$3:$F$20,5,FALSE),""),starting_interval + Table2[[#This Row],[round5]] - standard_round_time),"")</f>
        <v/>
      </c>
      <c r="AG122" s="69" t="str">
        <f>IF(AND(Table2[[#This Row],[gap5]]="NA",Table2[[#This Row],[round5]]&lt;4/24),0,IFERROR((MAX(starting_interval,IF(Table2[[#This Row],[gap5]]="NA",Table2[[#This Row],[avg gap]],Table2[[#This Row],[gap5]]))-starting_interval)*Table2[[#This Row],[followers5]]/Table2[[#This Row],[group size5]],""))</f>
        <v/>
      </c>
      <c r="AH122" s="32" t="str">
        <f>_xlfn.IFNA(VLOOKUP(Table2[[#This Row],[Name]],'Stableford - players'!$A$2:$B$65,2,FALSE),"")</f>
        <v/>
      </c>
      <c r="AI122" s="59" t="str">
        <f>IF(Table2[[#This Row],[tee time6]]&lt;&gt;"",COUNTIF('Stableford - players'!$B$2:$B$65,"="&amp;Table2[[#This Row],[tee time6]]),"")</f>
        <v/>
      </c>
      <c r="AJ122" s="59" t="str">
        <f>_xlfn.IFNA(VLOOKUP(Table2[[#This Row],[tee time6]],'Stableford - groups'!$A$3:$F$20,6,FALSE),"")</f>
        <v/>
      </c>
      <c r="AK122" s="11" t="str">
        <f>_xlfn.IFNA(VLOOKUP(Table2[[#This Row],[tee time6]],'Stableford - groups'!$A$3:$F$20,4,FALSE),"")</f>
        <v/>
      </c>
      <c r="AL122" s="13" t="str">
        <f>_xlfn.IFNA(VLOOKUP(Table2[[#This Row],[tee time6]],'Stableford - groups'!$A$3:$F$20,5,FALSE),"")</f>
        <v/>
      </c>
      <c r="AM122" s="68" t="str">
        <f>IF(AND(Table2[[#This Row],[gap6]]="NA",Table2[[#This Row],[round6]]&lt;4/24),0,IFERROR((MAX(starting_interval,IF(Table2[[#This Row],[gap6]]="NA",Table2[[#This Row],[avg gap]],Table2[[#This Row],[gap6]]))-starting_interval)*Table2[[#This Row],[followers6]]/Table2[[#This Row],[group size6]],""))</f>
        <v/>
      </c>
      <c r="AN122" s="32" t="str">
        <f>_xlfn.IFNA(VLOOKUP(Table2[[#This Row],[Name]],'Turkey Shoot - players'!$A$2:$B$65,2,FALSE),"")</f>
        <v/>
      </c>
      <c r="AO122" s="59" t="str">
        <f>IF(Table2[[#This Row],[tee time7]]&lt;&gt;"",COUNTIF('Turkey Shoot - players'!$B$2:$B$65,"="&amp;Table2[[#This Row],[tee time7]]),"")</f>
        <v/>
      </c>
      <c r="AP122" s="59" t="str">
        <f>_xlfn.IFNA(VLOOKUP(Table2[[#This Row],[tee time7]],'Stableford - groups'!$A$3:$F$20,6,FALSE),"")</f>
        <v/>
      </c>
      <c r="AQ122" s="11" t="str">
        <f>_xlfn.IFNA(VLOOKUP(Table2[[#This Row],[tee time7]],'Turkey Shoot - groups'!$A$3:$F$20,4,FALSE),"")</f>
        <v/>
      </c>
      <c r="AR122" s="13" t="str">
        <f>_xlfn.IFNA(VLOOKUP(Table2[[#This Row],[tee time7]],'Turkey Shoot - groups'!$A$3:$F$20,5,FALSE),"")</f>
        <v/>
      </c>
      <c r="AS122" s="68" t="str">
        <f>IF(AND(Table2[[#This Row],[gap7]]="NA",Table2[[#This Row],[round7]]&lt;4/24),0,IFERROR((MAX(starting_interval,IF(Table2[[#This Row],[gap7]]="NA",Table2[[#This Row],[avg gap]],Table2[[#This Row],[gap7]]))-starting_interval)*Table2[[#This Row],[followers7]]/Table2[[#This Row],[group size7]],""))</f>
        <v/>
      </c>
      <c r="AT122" s="72">
        <f>COUNT(Table2[[#This Row],[Tee time1]],Table2[[#This Row],[tee time2]],Table2[[#This Row],[tee time3]],Table2[[#This Row],[tee time4]],Table2[[#This Row],[tee time5]],Table2[[#This Row],[tee time6]],Table2[[#This Row],[tee time7]])</f>
        <v>1</v>
      </c>
      <c r="AU122" s="4">
        <f>IFERROR(AVERAGE(Table2[[#This Row],[Tee time1]],Table2[[#This Row],[tee time2]],Table2[[#This Row],[tee time3]],Table2[[#This Row],[tee time4]],Table2[[#This Row],[tee time5]],Table2[[#This Row],[tee time6]],Table2[[#This Row],[tee time7]]),"")</f>
        <v>0.41944444444444445</v>
      </c>
      <c r="AV122" s="11">
        <f>IFERROR(MEDIAN(Table2[[#This Row],[round1]],Table2[[#This Row],[Round2]],Table2[[#This Row],[round3]],Table2[[#This Row],[round4]],Table2[[#This Row],[round5]],Table2[[#This Row],[round6]],Table2[[#This Row],[round7]]),"")</f>
        <v>0.19513888888888892</v>
      </c>
      <c r="AW122" s="11">
        <f>IFERROR(AVERAGE(Table2[[#This Row],[gap1]],Table2[[#This Row],[gap2]],Table2[[#This Row],[gap3]],Table2[[#This Row],[gap4]],Table2[[#This Row],[gap5]],Table2[[#This Row],[gap6]],Table2[[#This Row],[gap7]]),"")</f>
        <v>5.5555555555555358E-3</v>
      </c>
      <c r="AX122" s="9">
        <f>IFERROR((Table2[[#This Row],[avg gap]]-starting_interval)*24*60*Table2[[#This Row],[Count]],"NA")</f>
        <v>-2.000000000000028</v>
      </c>
      <c r="AY12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22" s="2"/>
    </row>
    <row r="123" spans="1:52" x14ac:dyDescent="0.3">
      <c r="A123" s="10" t="s">
        <v>58</v>
      </c>
      <c r="B123" s="1" t="s">
        <v>296</v>
      </c>
      <c r="C123" s="19">
        <v>14.3</v>
      </c>
      <c r="D123" s="32" t="str">
        <f>_xlfn.IFNA(VLOOKUP(Table2[[#This Row],[Name]],'Classic day 1 - players'!$A$2:$B$64,2,FALSE),"")</f>
        <v/>
      </c>
      <c r="E123" s="33" t="str">
        <f>IF(Table2[[#This Row],[Tee time1]]&lt;&gt;"",COUNTIF('Classic day 1 - players'!$B$2:$B$64,"="&amp;Table2[[#This Row],[Tee time1]]),"")</f>
        <v/>
      </c>
      <c r="F123" s="33" t="str">
        <f>_xlfn.IFNA(VLOOKUP(Table2[[#This Row],[Tee time1]],'Classic day 1 - groups'!$A$3:$F$20,6,FALSE),"")</f>
        <v/>
      </c>
      <c r="G123" s="11" t="str">
        <f>_xlfn.IFNA(VLOOKUP(Table2[[#This Row],[Tee time1]],'Classic day 1 - groups'!$A$3:$F$20,4,FALSE),"")</f>
        <v/>
      </c>
      <c r="H123" s="12" t="str">
        <f>_xlfn.IFNA(VLOOKUP(Table2[[#This Row],[Tee time1]],'Classic day 1 - groups'!$A$3:$F$20,5,FALSE),"")</f>
        <v/>
      </c>
      <c r="I123" s="69" t="str">
        <f>IFERROR((MAX(starting_interval,IF(Table2[[#This Row],[gap1]]="NA",Table2[[#This Row],[avg gap]],Table2[[#This Row],[gap1]]))-starting_interval)*Table2[[#This Row],[followers1]]/Table2[[#This Row],[group size]],"")</f>
        <v/>
      </c>
      <c r="J123" s="32" t="str">
        <f>_xlfn.IFNA(VLOOKUP(Table2[[#This Row],[Name]],'Classic day 2 - players'!$A$2:$B$64,2,FALSE),"")</f>
        <v/>
      </c>
      <c r="K123" s="33" t="str">
        <f>IF(Table2[[#This Row],[tee time2]]&lt;&gt;"",COUNTIF('Classic day 2 - players'!$B$2:$B$64,"="&amp;Table2[[#This Row],[tee time2]]),"")</f>
        <v/>
      </c>
      <c r="L123" s="33" t="str">
        <f>_xlfn.IFNA(VLOOKUP(Table2[[#This Row],[tee time2]],'Classic day 2 - groups'!$A$3:$F$20,6,FALSE),"")</f>
        <v/>
      </c>
      <c r="M123" s="4" t="str">
        <f>_xlfn.IFNA(VLOOKUP(Table2[[#This Row],[tee time2]],'Classic day 2 - groups'!$A$3:$F$20,4,FALSE),"")</f>
        <v/>
      </c>
      <c r="N123" s="65" t="str">
        <f>_xlfn.IFNA(VLOOKUP(Table2[[#This Row],[tee time2]],'Classic day 2 - groups'!$A$3:$F$20,5,FALSE),"")</f>
        <v/>
      </c>
      <c r="O123" s="69" t="str">
        <f>IFERROR((MAX(starting_interval,IF(Table2[[#This Row],[gap2]]="NA",Table2[[#This Row],[avg gap]],Table2[[#This Row],[gap2]]))-starting_interval)*Table2[[#This Row],[followers2]]/Table2[[#This Row],[group size2]],"")</f>
        <v/>
      </c>
      <c r="P123" s="32" t="str">
        <f>_xlfn.IFNA(VLOOKUP(Table2[[#This Row],[Name]],'Summer FD - players'!$A$2:$B$65,2,FALSE),"")</f>
        <v/>
      </c>
      <c r="Q123" s="59" t="str">
        <f>IF(Table2[[#This Row],[tee time3]]&lt;&gt;"",COUNTIF('Summer FD - players'!$B$2:$B$65,"="&amp;Table2[[#This Row],[tee time3]]),"")</f>
        <v/>
      </c>
      <c r="R123" s="59" t="str">
        <f>_xlfn.IFNA(VLOOKUP(Table2[[#This Row],[tee time3]],'Summer FD - groups'!$A$3:$F$20,6,FALSE),"")</f>
        <v/>
      </c>
      <c r="S123" s="4" t="str">
        <f>_xlfn.IFNA(VLOOKUP(Table2[[#This Row],[tee time3]],'Summer FD - groups'!$A$3:$F$20,4,FALSE),"")</f>
        <v/>
      </c>
      <c r="T123" s="13" t="str">
        <f>_xlfn.IFNA(VLOOKUP(Table2[[#This Row],[tee time3]],'Summer FD - groups'!$A$3:$F$20,5,FALSE),"")</f>
        <v/>
      </c>
      <c r="U123" s="69" t="str">
        <f>IF(Table2[[#This Row],[avg gap]]&lt;&gt;"",IFERROR((MAX(starting_interval,IF(Table2[[#This Row],[gap3]]="NA",Table2[[#This Row],[avg gap]],Table2[[#This Row],[gap3]]))-starting_interval)*Table2[[#This Row],[followers3]]/Table2[[#This Row],[group size3]],""),"")</f>
        <v/>
      </c>
      <c r="V123" s="32">
        <f>_xlfn.IFNA(VLOOKUP(Table2[[#This Row],[Name]],'6-6-6 - players'!$A$2:$B$69,2,FALSE),"")</f>
        <v>0.4236111111111111</v>
      </c>
      <c r="W123" s="59">
        <f>IF(Table2[[#This Row],[tee time4]]&lt;&gt;"",COUNTIF('6-6-6 - players'!$B$2:$B$69,"="&amp;Table2[[#This Row],[tee time4]]),"")</f>
        <v>4</v>
      </c>
      <c r="X123" s="59">
        <f>_xlfn.IFNA(VLOOKUP(Table2[[#This Row],[tee time4]],'6-6-6 - groups'!$A$3:$F$20,6,FALSE),"")</f>
        <v>16</v>
      </c>
      <c r="Y123" s="4">
        <f>_xlfn.IFNA(VLOOKUP(Table2[[#This Row],[tee time4]],'6-6-6 - groups'!$A$3:$F$20,4,FALSE),"")</f>
        <v>0.17638888888888887</v>
      </c>
      <c r="Z123" s="13">
        <f>_xlfn.IFNA(VLOOKUP(Table2[[#This Row],[tee time4]],'6-6-6 - groups'!$A$3:$F$20,5,FALSE),"")</f>
        <v>6.2499999999999778E-3</v>
      </c>
      <c r="AA123" s="69">
        <f>IF(Table2[[#This Row],[avg gap]]&lt;&gt;"",IFERROR((MAX(starting_interval,IF(Table2[[#This Row],[gap4]]="NA",Table2[[#This Row],[avg gap]],Table2[[#This Row],[gap4]]))-starting_interval)*Table2[[#This Row],[followers4]]/Table2[[#This Row],[group size4]],""),"")</f>
        <v>0</v>
      </c>
      <c r="AB123" s="32">
        <f>_xlfn.IFNA(VLOOKUP(Table2[[#This Row],[Name]],'Fall FD - players'!$A$2:$B$65,2,FALSE),"")</f>
        <v>0.41388888888888892</v>
      </c>
      <c r="AC123" s="59">
        <f>IF(Table2[[#This Row],[tee time5]]&lt;&gt;"",COUNTIF('Fall FD - players'!$B$2:$B$65,"="&amp;Table2[[#This Row],[tee time5]]),"")</f>
        <v>4</v>
      </c>
      <c r="AD123" s="59">
        <f>_xlfn.IFNA(VLOOKUP(Table2[[#This Row],[tee time5]],'Fall FD - groups'!$A$3:$F$20,6,FALSE),"")</f>
        <v>24</v>
      </c>
      <c r="AE123" s="4">
        <f>_xlfn.IFNA(VLOOKUP(Table2[[#This Row],[tee time5]],'Fall FD - groups'!$A$3:$F$20,4,FALSE),"")</f>
        <v>0.1791666666666667</v>
      </c>
      <c r="AF123" s="13">
        <f>IFERROR(MIN(_xlfn.IFNA(VLOOKUP(Table2[[#This Row],[tee time5]],'Fall FD - groups'!$A$3:$F$20,5,FALSE),""),starting_interval + Table2[[#This Row],[round5]] - standard_round_time),"")</f>
        <v>6.2499999999999778E-3</v>
      </c>
      <c r="AG123" s="69">
        <f>IF(AND(Table2[[#This Row],[gap5]]="NA",Table2[[#This Row],[round5]]&lt;4/24),0,IFERROR((MAX(starting_interval,IF(Table2[[#This Row],[gap5]]="NA",Table2[[#This Row],[avg gap]],Table2[[#This Row],[gap5]]))-starting_interval)*Table2[[#This Row],[followers5]]/Table2[[#This Row],[group size5]],""))</f>
        <v>0</v>
      </c>
      <c r="AH123" s="32" t="str">
        <f>_xlfn.IFNA(VLOOKUP(Table2[[#This Row],[Name]],'Stableford - players'!$A$2:$B$65,2,FALSE),"")</f>
        <v/>
      </c>
      <c r="AI123" s="59" t="str">
        <f>IF(Table2[[#This Row],[tee time6]]&lt;&gt;"",COUNTIF('Stableford - players'!$B$2:$B$65,"="&amp;Table2[[#This Row],[tee time6]]),"")</f>
        <v/>
      </c>
      <c r="AJ123" s="59" t="str">
        <f>_xlfn.IFNA(VLOOKUP(Table2[[#This Row],[tee time6]],'Stableford - groups'!$A$3:$F$20,6,FALSE),"")</f>
        <v/>
      </c>
      <c r="AK123" s="11" t="str">
        <f>_xlfn.IFNA(VLOOKUP(Table2[[#This Row],[tee time6]],'Stableford - groups'!$A$3:$F$20,4,FALSE),"")</f>
        <v/>
      </c>
      <c r="AL123" s="13" t="str">
        <f>_xlfn.IFNA(VLOOKUP(Table2[[#This Row],[tee time6]],'Stableford - groups'!$A$3:$F$20,5,FALSE),"")</f>
        <v/>
      </c>
      <c r="AM123" s="68" t="str">
        <f>IF(AND(Table2[[#This Row],[gap6]]="NA",Table2[[#This Row],[round6]]&lt;4/24),0,IFERROR((MAX(starting_interval,IF(Table2[[#This Row],[gap6]]="NA",Table2[[#This Row],[avg gap]],Table2[[#This Row],[gap6]]))-starting_interval)*Table2[[#This Row],[followers6]]/Table2[[#This Row],[group size6]],""))</f>
        <v/>
      </c>
      <c r="AN123" s="32" t="str">
        <f>_xlfn.IFNA(VLOOKUP(Table2[[#This Row],[Name]],'Turkey Shoot - players'!$A$2:$B$65,2,FALSE),"")</f>
        <v/>
      </c>
      <c r="AO123" s="59" t="str">
        <f>IF(Table2[[#This Row],[tee time7]]&lt;&gt;"",COUNTIF('Turkey Shoot - players'!$B$2:$B$65,"="&amp;Table2[[#This Row],[tee time7]]),"")</f>
        <v/>
      </c>
      <c r="AP123" s="59" t="str">
        <f>_xlfn.IFNA(VLOOKUP(Table2[[#This Row],[tee time7]],'Stableford - groups'!$A$3:$F$20,6,FALSE),"")</f>
        <v/>
      </c>
      <c r="AQ123" s="11" t="str">
        <f>_xlfn.IFNA(VLOOKUP(Table2[[#This Row],[tee time7]],'Turkey Shoot - groups'!$A$3:$F$20,4,FALSE),"")</f>
        <v/>
      </c>
      <c r="AR123" s="13" t="str">
        <f>_xlfn.IFNA(VLOOKUP(Table2[[#This Row],[tee time7]],'Turkey Shoot - groups'!$A$3:$F$20,5,FALSE),"")</f>
        <v/>
      </c>
      <c r="AS123" s="68" t="str">
        <f>IF(AND(Table2[[#This Row],[gap7]]="NA",Table2[[#This Row],[round7]]&lt;4/24),0,IFERROR((MAX(starting_interval,IF(Table2[[#This Row],[gap7]]="NA",Table2[[#This Row],[avg gap]],Table2[[#This Row],[gap7]]))-starting_interval)*Table2[[#This Row],[followers7]]/Table2[[#This Row],[group size7]],""))</f>
        <v/>
      </c>
      <c r="AT123" s="72">
        <f>COUNT(Table2[[#This Row],[Tee time1]],Table2[[#This Row],[tee time2]],Table2[[#This Row],[tee time3]],Table2[[#This Row],[tee time4]],Table2[[#This Row],[tee time5]],Table2[[#This Row],[tee time6]],Table2[[#This Row],[tee time7]])</f>
        <v>2</v>
      </c>
      <c r="AU123" s="4">
        <f>IFERROR(AVERAGE(Table2[[#This Row],[Tee time1]],Table2[[#This Row],[tee time2]],Table2[[#This Row],[tee time3]],Table2[[#This Row],[tee time4]],Table2[[#This Row],[tee time5]],Table2[[#This Row],[tee time6]],Table2[[#This Row],[tee time7]]),"")</f>
        <v>0.41875000000000001</v>
      </c>
      <c r="AV123" s="11">
        <f>IFERROR(MEDIAN(Table2[[#This Row],[round1]],Table2[[#This Row],[Round2]],Table2[[#This Row],[round3]],Table2[[#This Row],[round4]],Table2[[#This Row],[round5]],Table2[[#This Row],[round6]],Table2[[#This Row],[round7]]),"")</f>
        <v>0.17777777777777778</v>
      </c>
      <c r="AW123" s="11">
        <f>IFERROR(AVERAGE(Table2[[#This Row],[gap1]],Table2[[#This Row],[gap2]],Table2[[#This Row],[gap3]],Table2[[#This Row],[gap4]],Table2[[#This Row],[gap5]],Table2[[#This Row],[gap6]],Table2[[#This Row],[gap7]]),"")</f>
        <v>6.2499999999999778E-3</v>
      </c>
      <c r="AX123" s="9">
        <f>IFERROR((Table2[[#This Row],[avg gap]]-starting_interval)*24*60*Table2[[#This Row],[Count]],"NA")</f>
        <v>-2.0000000000000631</v>
      </c>
      <c r="AY12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23" s="2"/>
    </row>
    <row r="124" spans="1:52" x14ac:dyDescent="0.3">
      <c r="A124" s="10" t="s">
        <v>120</v>
      </c>
      <c r="B124" s="1" t="s">
        <v>360</v>
      </c>
      <c r="C124" s="19">
        <v>25.4</v>
      </c>
      <c r="D124" s="32" t="str">
        <f>_xlfn.IFNA(VLOOKUP(Table2[[#This Row],[Name]],'Classic day 1 - players'!$A$2:$B$64,2,FALSE),"")</f>
        <v/>
      </c>
      <c r="E124" s="33" t="str">
        <f>IF(Table2[[#This Row],[Tee time1]]&lt;&gt;"",COUNTIF('Classic day 1 - players'!$B$2:$B$64,"="&amp;Table2[[#This Row],[Tee time1]]),"")</f>
        <v/>
      </c>
      <c r="F124" s="33" t="str">
        <f>_xlfn.IFNA(VLOOKUP(Table2[[#This Row],[Tee time1]],'Classic day 1 - groups'!$A$3:$F$20,6,FALSE),"")</f>
        <v/>
      </c>
      <c r="G124" s="11" t="str">
        <f>_xlfn.IFNA(VLOOKUP(Table2[[#This Row],[Tee time1]],'Classic day 1 - groups'!$A$3:$F$20,4,FALSE),"")</f>
        <v/>
      </c>
      <c r="H124" s="12" t="str">
        <f>_xlfn.IFNA(VLOOKUP(Table2[[#This Row],[Tee time1]],'Classic day 1 - groups'!$A$3:$F$20,5,FALSE),"")</f>
        <v/>
      </c>
      <c r="I124" s="69" t="str">
        <f>IFERROR((MAX(starting_interval,IF(Table2[[#This Row],[gap1]]="NA",Table2[[#This Row],[avg gap]],Table2[[#This Row],[gap1]]))-starting_interval)*Table2[[#This Row],[followers1]]/Table2[[#This Row],[group size]],"")</f>
        <v/>
      </c>
      <c r="J124" s="32" t="str">
        <f>_xlfn.IFNA(VLOOKUP(Table2[[#This Row],[Name]],'Classic day 2 - players'!$A$2:$B$64,2,FALSE),"")</f>
        <v/>
      </c>
      <c r="K124" s="33" t="str">
        <f>IF(Table2[[#This Row],[tee time2]]&lt;&gt;"",COUNTIF('Classic day 2 - players'!$B$2:$B$64,"="&amp;Table2[[#This Row],[tee time2]]),"")</f>
        <v/>
      </c>
      <c r="L124" s="33" t="str">
        <f>_xlfn.IFNA(VLOOKUP(Table2[[#This Row],[tee time2]],'Classic day 2 - groups'!$A$3:$F$20,6,FALSE),"")</f>
        <v/>
      </c>
      <c r="M124" s="4" t="str">
        <f>_xlfn.IFNA(VLOOKUP(Table2[[#This Row],[tee time2]],'Classic day 2 - groups'!$A$3:$F$20,4,FALSE),"")</f>
        <v/>
      </c>
      <c r="N124" s="65" t="str">
        <f>_xlfn.IFNA(VLOOKUP(Table2[[#This Row],[tee time2]],'Classic day 2 - groups'!$A$3:$F$20,5,FALSE),"")</f>
        <v/>
      </c>
      <c r="O124" s="69" t="str">
        <f>IFERROR((MAX(starting_interval,IF(Table2[[#This Row],[gap2]]="NA",Table2[[#This Row],[avg gap]],Table2[[#This Row],[gap2]]))-starting_interval)*Table2[[#This Row],[followers2]]/Table2[[#This Row],[group size2]],"")</f>
        <v/>
      </c>
      <c r="P124" s="32" t="str">
        <f>_xlfn.IFNA(VLOOKUP(Table2[[#This Row],[Name]],'Summer FD - players'!$A$2:$B$65,2,FALSE),"")</f>
        <v/>
      </c>
      <c r="Q124" s="59" t="str">
        <f>IF(Table2[[#This Row],[tee time3]]&lt;&gt;"",COUNTIF('Summer FD - players'!$B$2:$B$65,"="&amp;Table2[[#This Row],[tee time3]]),"")</f>
        <v/>
      </c>
      <c r="R124" s="59" t="str">
        <f>_xlfn.IFNA(VLOOKUP(Table2[[#This Row],[tee time3]],'Summer FD - groups'!$A$3:$F$20,6,FALSE),"")</f>
        <v/>
      </c>
      <c r="S124" s="4" t="str">
        <f>_xlfn.IFNA(VLOOKUP(Table2[[#This Row],[tee time3]],'Summer FD - groups'!$A$3:$F$20,4,FALSE),"")</f>
        <v/>
      </c>
      <c r="T124" s="13" t="str">
        <f>_xlfn.IFNA(VLOOKUP(Table2[[#This Row],[tee time3]],'Summer FD - groups'!$A$3:$F$20,5,FALSE),"")</f>
        <v/>
      </c>
      <c r="U124" s="69" t="str">
        <f>IF(Table2[[#This Row],[avg gap]]&lt;&gt;"",IFERROR((MAX(starting_interval,IF(Table2[[#This Row],[gap3]]="NA",Table2[[#This Row],[avg gap]],Table2[[#This Row],[gap3]]))-starting_interval)*Table2[[#This Row],[followers3]]/Table2[[#This Row],[group size3]],""),"")</f>
        <v/>
      </c>
      <c r="V124" s="32">
        <f>_xlfn.IFNA(VLOOKUP(Table2[[#This Row],[Name]],'6-6-6 - players'!$A$2:$B$69,2,FALSE),"")</f>
        <v>0.4236111111111111</v>
      </c>
      <c r="W124" s="59">
        <f>IF(Table2[[#This Row],[tee time4]]&lt;&gt;"",COUNTIF('6-6-6 - players'!$B$2:$B$69,"="&amp;Table2[[#This Row],[tee time4]]),"")</f>
        <v>4</v>
      </c>
      <c r="X124" s="59">
        <f>_xlfn.IFNA(VLOOKUP(Table2[[#This Row],[tee time4]],'6-6-6 - groups'!$A$3:$F$20,6,FALSE),"")</f>
        <v>16</v>
      </c>
      <c r="Y124" s="4">
        <f>_xlfn.IFNA(VLOOKUP(Table2[[#This Row],[tee time4]],'6-6-6 - groups'!$A$3:$F$20,4,FALSE),"")</f>
        <v>0.17638888888888887</v>
      </c>
      <c r="Z124" s="13">
        <f>_xlfn.IFNA(VLOOKUP(Table2[[#This Row],[tee time4]],'6-6-6 - groups'!$A$3:$F$20,5,FALSE),"")</f>
        <v>6.2499999999999778E-3</v>
      </c>
      <c r="AA124" s="69">
        <f>IF(Table2[[#This Row],[avg gap]]&lt;&gt;"",IFERROR((MAX(starting_interval,IF(Table2[[#This Row],[gap4]]="NA",Table2[[#This Row],[avg gap]],Table2[[#This Row],[gap4]]))-starting_interval)*Table2[[#This Row],[followers4]]/Table2[[#This Row],[group size4]],""),"")</f>
        <v>0</v>
      </c>
      <c r="AB124" s="32">
        <f>_xlfn.IFNA(VLOOKUP(Table2[[#This Row],[Name]],'Fall FD - players'!$A$2:$B$65,2,FALSE),"")</f>
        <v>0.41388888888888892</v>
      </c>
      <c r="AC124" s="59">
        <f>IF(Table2[[#This Row],[tee time5]]&lt;&gt;"",COUNTIF('Fall FD - players'!$B$2:$B$65,"="&amp;Table2[[#This Row],[tee time5]]),"")</f>
        <v>4</v>
      </c>
      <c r="AD124" s="59">
        <f>_xlfn.IFNA(VLOOKUP(Table2[[#This Row],[tee time5]],'Fall FD - groups'!$A$3:$F$20,6,FALSE),"")</f>
        <v>24</v>
      </c>
      <c r="AE124" s="4">
        <f>_xlfn.IFNA(VLOOKUP(Table2[[#This Row],[tee time5]],'Fall FD - groups'!$A$3:$F$20,4,FALSE),"")</f>
        <v>0.1791666666666667</v>
      </c>
      <c r="AF124" s="13">
        <f>IFERROR(MIN(_xlfn.IFNA(VLOOKUP(Table2[[#This Row],[tee time5]],'Fall FD - groups'!$A$3:$F$20,5,FALSE),""),starting_interval + Table2[[#This Row],[round5]] - standard_round_time),"")</f>
        <v>6.2499999999999778E-3</v>
      </c>
      <c r="AG124" s="69">
        <f>IF(AND(Table2[[#This Row],[gap5]]="NA",Table2[[#This Row],[round5]]&lt;4/24),0,IFERROR((MAX(starting_interval,IF(Table2[[#This Row],[gap5]]="NA",Table2[[#This Row],[avg gap]],Table2[[#This Row],[gap5]]))-starting_interval)*Table2[[#This Row],[followers5]]/Table2[[#This Row],[group size5]],""))</f>
        <v>0</v>
      </c>
      <c r="AH124" s="32" t="str">
        <f>_xlfn.IFNA(VLOOKUP(Table2[[#This Row],[Name]],'Stableford - players'!$A$2:$B$65,2,FALSE),"")</f>
        <v/>
      </c>
      <c r="AI124" s="59" t="str">
        <f>IF(Table2[[#This Row],[tee time6]]&lt;&gt;"",COUNTIF('Stableford - players'!$B$2:$B$65,"="&amp;Table2[[#This Row],[tee time6]]),"")</f>
        <v/>
      </c>
      <c r="AJ124" s="59" t="str">
        <f>_xlfn.IFNA(VLOOKUP(Table2[[#This Row],[tee time6]],'Stableford - groups'!$A$3:$F$20,6,FALSE),"")</f>
        <v/>
      </c>
      <c r="AK124" s="11" t="str">
        <f>_xlfn.IFNA(VLOOKUP(Table2[[#This Row],[tee time6]],'Stableford - groups'!$A$3:$F$20,4,FALSE),"")</f>
        <v/>
      </c>
      <c r="AL124" s="13" t="str">
        <f>_xlfn.IFNA(VLOOKUP(Table2[[#This Row],[tee time6]],'Stableford - groups'!$A$3:$F$20,5,FALSE),"")</f>
        <v/>
      </c>
      <c r="AM124" s="68" t="str">
        <f>IF(AND(Table2[[#This Row],[gap6]]="NA",Table2[[#This Row],[round6]]&lt;4/24),0,IFERROR((MAX(starting_interval,IF(Table2[[#This Row],[gap6]]="NA",Table2[[#This Row],[avg gap]],Table2[[#This Row],[gap6]]))-starting_interval)*Table2[[#This Row],[followers6]]/Table2[[#This Row],[group size6]],""))</f>
        <v/>
      </c>
      <c r="AN124" s="32" t="str">
        <f>_xlfn.IFNA(VLOOKUP(Table2[[#This Row],[Name]],'Turkey Shoot - players'!$A$2:$B$65,2,FALSE),"")</f>
        <v/>
      </c>
      <c r="AO124" s="59" t="str">
        <f>IF(Table2[[#This Row],[tee time7]]&lt;&gt;"",COUNTIF('Turkey Shoot - players'!$B$2:$B$65,"="&amp;Table2[[#This Row],[tee time7]]),"")</f>
        <v/>
      </c>
      <c r="AP124" s="59" t="str">
        <f>_xlfn.IFNA(VLOOKUP(Table2[[#This Row],[tee time7]],'Stableford - groups'!$A$3:$F$20,6,FALSE),"")</f>
        <v/>
      </c>
      <c r="AQ124" s="11" t="str">
        <f>_xlfn.IFNA(VLOOKUP(Table2[[#This Row],[tee time7]],'Turkey Shoot - groups'!$A$3:$F$20,4,FALSE),"")</f>
        <v/>
      </c>
      <c r="AR124" s="13" t="str">
        <f>_xlfn.IFNA(VLOOKUP(Table2[[#This Row],[tee time7]],'Turkey Shoot - groups'!$A$3:$F$20,5,FALSE),"")</f>
        <v/>
      </c>
      <c r="AS124" s="68" t="str">
        <f>IF(AND(Table2[[#This Row],[gap7]]="NA",Table2[[#This Row],[round7]]&lt;4/24),0,IFERROR((MAX(starting_interval,IF(Table2[[#This Row],[gap7]]="NA",Table2[[#This Row],[avg gap]],Table2[[#This Row],[gap7]]))-starting_interval)*Table2[[#This Row],[followers7]]/Table2[[#This Row],[group size7]],""))</f>
        <v/>
      </c>
      <c r="AT124" s="72">
        <f>COUNT(Table2[[#This Row],[Tee time1]],Table2[[#This Row],[tee time2]],Table2[[#This Row],[tee time3]],Table2[[#This Row],[tee time4]],Table2[[#This Row],[tee time5]],Table2[[#This Row],[tee time6]],Table2[[#This Row],[tee time7]])</f>
        <v>2</v>
      </c>
      <c r="AU124" s="4">
        <f>IFERROR(AVERAGE(Table2[[#This Row],[Tee time1]],Table2[[#This Row],[tee time2]],Table2[[#This Row],[tee time3]],Table2[[#This Row],[tee time4]],Table2[[#This Row],[tee time5]],Table2[[#This Row],[tee time6]],Table2[[#This Row],[tee time7]]),"")</f>
        <v>0.41875000000000001</v>
      </c>
      <c r="AV124" s="11">
        <f>IFERROR(MEDIAN(Table2[[#This Row],[round1]],Table2[[#This Row],[Round2]],Table2[[#This Row],[round3]],Table2[[#This Row],[round4]],Table2[[#This Row],[round5]],Table2[[#This Row],[round6]],Table2[[#This Row],[round7]]),"")</f>
        <v>0.17777777777777778</v>
      </c>
      <c r="AW124" s="11">
        <f>IFERROR(AVERAGE(Table2[[#This Row],[gap1]],Table2[[#This Row],[gap2]],Table2[[#This Row],[gap3]],Table2[[#This Row],[gap4]],Table2[[#This Row],[gap5]],Table2[[#This Row],[gap6]],Table2[[#This Row],[gap7]]),"")</f>
        <v>6.2499999999999778E-3</v>
      </c>
      <c r="AX124" s="9">
        <f>IFERROR((Table2[[#This Row],[avg gap]]-starting_interval)*24*60*Table2[[#This Row],[Count]],"NA")</f>
        <v>-2.0000000000000631</v>
      </c>
      <c r="AY124"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24" s="2"/>
    </row>
    <row r="125" spans="1:52" x14ac:dyDescent="0.3">
      <c r="A125" s="10" t="s">
        <v>41</v>
      </c>
      <c r="B125" s="1" t="s">
        <v>279</v>
      </c>
      <c r="C125" s="19">
        <v>24.4</v>
      </c>
      <c r="D125" s="32" t="str">
        <f>_xlfn.IFNA(VLOOKUP(Table2[[#This Row],[Name]],'Classic day 1 - players'!$A$2:$B$64,2,FALSE),"")</f>
        <v/>
      </c>
      <c r="E125" s="33" t="str">
        <f>IF(Table2[[#This Row],[Tee time1]]&lt;&gt;"",COUNTIF('Classic day 1 - players'!$B$2:$B$64,"="&amp;Table2[[#This Row],[Tee time1]]),"")</f>
        <v/>
      </c>
      <c r="F125" s="33" t="str">
        <f>_xlfn.IFNA(VLOOKUP(Table2[[#This Row],[Tee time1]],'Classic day 1 - groups'!$A$3:$F$20,6,FALSE),"")</f>
        <v/>
      </c>
      <c r="G125" s="11" t="str">
        <f>_xlfn.IFNA(VLOOKUP(Table2[[#This Row],[Tee time1]],'Classic day 1 - groups'!$A$3:$F$20,4,FALSE),"")</f>
        <v/>
      </c>
      <c r="H125" s="12" t="str">
        <f>_xlfn.IFNA(VLOOKUP(Table2[[#This Row],[Tee time1]],'Classic day 1 - groups'!$A$3:$F$20,5,FALSE),"")</f>
        <v/>
      </c>
      <c r="I125" s="69" t="str">
        <f>IFERROR((MAX(starting_interval,IF(Table2[[#This Row],[gap1]]="NA",Table2[[#This Row],[avg gap]],Table2[[#This Row],[gap1]]))-starting_interval)*Table2[[#This Row],[followers1]]/Table2[[#This Row],[group size]],"")</f>
        <v/>
      </c>
      <c r="J125" s="32" t="str">
        <f>_xlfn.IFNA(VLOOKUP(Table2[[#This Row],[Name]],'Classic day 2 - players'!$A$2:$B$64,2,FALSE),"")</f>
        <v/>
      </c>
      <c r="K125" s="33" t="str">
        <f>IF(Table2[[#This Row],[tee time2]]&lt;&gt;"",COUNTIF('Classic day 2 - players'!$B$2:$B$64,"="&amp;Table2[[#This Row],[tee time2]]),"")</f>
        <v/>
      </c>
      <c r="L125" s="33" t="str">
        <f>_xlfn.IFNA(VLOOKUP(Table2[[#This Row],[tee time2]],'Classic day 2 - groups'!$A$3:$F$20,6,FALSE),"")</f>
        <v/>
      </c>
      <c r="M125" s="4" t="str">
        <f>_xlfn.IFNA(VLOOKUP(Table2[[#This Row],[tee time2]],'Classic day 2 - groups'!$A$3:$F$20,4,FALSE),"")</f>
        <v/>
      </c>
      <c r="N125" s="65" t="str">
        <f>_xlfn.IFNA(VLOOKUP(Table2[[#This Row],[tee time2]],'Classic day 2 - groups'!$A$3:$F$20,5,FALSE),"")</f>
        <v/>
      </c>
      <c r="O125" s="69" t="str">
        <f>IFERROR((MAX(starting_interval,IF(Table2[[#This Row],[gap2]]="NA",Table2[[#This Row],[avg gap]],Table2[[#This Row],[gap2]]))-starting_interval)*Table2[[#This Row],[followers2]]/Table2[[#This Row],[group size2]],"")</f>
        <v/>
      </c>
      <c r="P125" s="32">
        <f>_xlfn.IFNA(VLOOKUP(Table2[[#This Row],[Name]],'Summer FD - players'!$A$2:$B$65,2,FALSE),"")</f>
        <v>0.35000000000000003</v>
      </c>
      <c r="Q125" s="59">
        <f>IF(Table2[[#This Row],[tee time3]]&lt;&gt;"",COUNTIF('Summer FD - players'!$B$2:$B$65,"="&amp;Table2[[#This Row],[tee time3]]),"")</f>
        <v>4</v>
      </c>
      <c r="R125" s="59">
        <f>_xlfn.IFNA(VLOOKUP(Table2[[#This Row],[tee time3]],'Summer FD - groups'!$A$3:$F$20,6,FALSE),"")</f>
        <v>52</v>
      </c>
      <c r="S125" s="4">
        <f>_xlfn.IFNA(VLOOKUP(Table2[[#This Row],[tee time3]],'Summer FD - groups'!$A$3:$F$20,4,FALSE),"")</f>
        <v>0.19027777777777771</v>
      </c>
      <c r="T125" s="13">
        <f>_xlfn.IFNA(VLOOKUP(Table2[[#This Row],[tee time3]],'Summer FD - groups'!$A$3:$F$20,5,FALSE),"")</f>
        <v>6.2499999999999778E-3</v>
      </c>
      <c r="U125" s="69">
        <f>IF(Table2[[#This Row],[avg gap]]&lt;&gt;"",IFERROR((MAX(starting_interval,IF(Table2[[#This Row],[gap3]]="NA",Table2[[#This Row],[avg gap]],Table2[[#This Row],[gap3]]))-starting_interval)*Table2[[#This Row],[followers3]]/Table2[[#This Row],[group size3]],""),"")</f>
        <v>0</v>
      </c>
      <c r="V125" s="32" t="str">
        <f>_xlfn.IFNA(VLOOKUP(Table2[[#This Row],[Name]],'6-6-6 - players'!$A$2:$B$69,2,FALSE),"")</f>
        <v/>
      </c>
      <c r="W125" s="59" t="str">
        <f>IF(Table2[[#This Row],[tee time4]]&lt;&gt;"",COUNTIF('6-6-6 - players'!$B$2:$B$69,"="&amp;Table2[[#This Row],[tee time4]]),"")</f>
        <v/>
      </c>
      <c r="X125" s="59" t="str">
        <f>_xlfn.IFNA(VLOOKUP(Table2[[#This Row],[tee time4]],'6-6-6 - groups'!$A$3:$F$20,6,FALSE),"")</f>
        <v/>
      </c>
      <c r="Y125" s="4" t="str">
        <f>_xlfn.IFNA(VLOOKUP(Table2[[#This Row],[tee time4]],'6-6-6 - groups'!$A$3:$F$20,4,FALSE),"")</f>
        <v/>
      </c>
      <c r="Z125" s="13" t="str">
        <f>_xlfn.IFNA(VLOOKUP(Table2[[#This Row],[tee time4]],'6-6-6 - groups'!$A$3:$F$20,5,FALSE),"")</f>
        <v/>
      </c>
      <c r="AA125" s="69" t="str">
        <f>IF(Table2[[#This Row],[avg gap]]&lt;&gt;"",IFERROR((MAX(starting_interval,IF(Table2[[#This Row],[gap4]]="NA",Table2[[#This Row],[avg gap]],Table2[[#This Row],[gap4]]))-starting_interval)*Table2[[#This Row],[followers4]]/Table2[[#This Row],[group size4]],""),"")</f>
        <v/>
      </c>
      <c r="AB125" s="32">
        <f>_xlfn.IFNA(VLOOKUP(Table2[[#This Row],[Name]],'Fall FD - players'!$A$2:$B$65,2,FALSE),"")</f>
        <v>0.44861111111111113</v>
      </c>
      <c r="AC125" s="59">
        <f>IF(Table2[[#This Row],[tee time5]]&lt;&gt;"",COUNTIF('Fall FD - players'!$B$2:$B$65,"="&amp;Table2[[#This Row],[tee time5]]),"")</f>
        <v>3</v>
      </c>
      <c r="AD125" s="59">
        <f>_xlfn.IFNA(VLOOKUP(Table2[[#This Row],[tee time5]],'Fall FD - groups'!$A$3:$F$20,6,FALSE),"")</f>
        <v>4</v>
      </c>
      <c r="AE125" s="4">
        <f>_xlfn.IFNA(VLOOKUP(Table2[[#This Row],[tee time5]],'Fall FD - groups'!$A$3:$F$20,4,FALSE),"")</f>
        <v>0.17499999999999999</v>
      </c>
      <c r="AF125" s="13">
        <f>IFERROR(MIN(_xlfn.IFNA(VLOOKUP(Table2[[#This Row],[tee time5]],'Fall FD - groups'!$A$3:$F$20,5,FALSE),""),starting_interval + Table2[[#This Row],[round5]] - standard_round_time),"")</f>
        <v>6.2499999999999778E-3</v>
      </c>
      <c r="AG125" s="69">
        <f>IF(AND(Table2[[#This Row],[gap5]]="NA",Table2[[#This Row],[round5]]&lt;4/24),0,IFERROR((MAX(starting_interval,IF(Table2[[#This Row],[gap5]]="NA",Table2[[#This Row],[avg gap]],Table2[[#This Row],[gap5]]))-starting_interval)*Table2[[#This Row],[followers5]]/Table2[[#This Row],[group size5]],""))</f>
        <v>0</v>
      </c>
      <c r="AH125" s="32" t="str">
        <f>_xlfn.IFNA(VLOOKUP(Table2[[#This Row],[Name]],'Stableford - players'!$A$2:$B$65,2,FALSE),"")</f>
        <v/>
      </c>
      <c r="AI125" s="59" t="str">
        <f>IF(Table2[[#This Row],[tee time6]]&lt;&gt;"",COUNTIF('Stableford - players'!$B$2:$B$65,"="&amp;Table2[[#This Row],[tee time6]]),"")</f>
        <v/>
      </c>
      <c r="AJ125" s="59" t="str">
        <f>_xlfn.IFNA(VLOOKUP(Table2[[#This Row],[tee time6]],'Stableford - groups'!$A$3:$F$20,6,FALSE),"")</f>
        <v/>
      </c>
      <c r="AK125" s="11" t="str">
        <f>_xlfn.IFNA(VLOOKUP(Table2[[#This Row],[tee time6]],'Stableford - groups'!$A$3:$F$20,4,FALSE),"")</f>
        <v/>
      </c>
      <c r="AL125" s="13" t="str">
        <f>_xlfn.IFNA(VLOOKUP(Table2[[#This Row],[tee time6]],'Stableford - groups'!$A$3:$F$20,5,FALSE),"")</f>
        <v/>
      </c>
      <c r="AM125" s="68" t="str">
        <f>IF(AND(Table2[[#This Row],[gap6]]="NA",Table2[[#This Row],[round6]]&lt;4/24),0,IFERROR((MAX(starting_interval,IF(Table2[[#This Row],[gap6]]="NA",Table2[[#This Row],[avg gap]],Table2[[#This Row],[gap6]]))-starting_interval)*Table2[[#This Row],[followers6]]/Table2[[#This Row],[group size6]],""))</f>
        <v/>
      </c>
      <c r="AN125" s="32" t="str">
        <f>_xlfn.IFNA(VLOOKUP(Table2[[#This Row],[Name]],'Turkey Shoot - players'!$A$2:$B$65,2,FALSE),"")</f>
        <v/>
      </c>
      <c r="AO125" s="59" t="str">
        <f>IF(Table2[[#This Row],[tee time7]]&lt;&gt;"",COUNTIF('Turkey Shoot - players'!$B$2:$B$65,"="&amp;Table2[[#This Row],[tee time7]]),"")</f>
        <v/>
      </c>
      <c r="AP125" s="59" t="str">
        <f>_xlfn.IFNA(VLOOKUP(Table2[[#This Row],[tee time7]],'Stableford - groups'!$A$3:$F$20,6,FALSE),"")</f>
        <v/>
      </c>
      <c r="AQ125" s="11" t="str">
        <f>_xlfn.IFNA(VLOOKUP(Table2[[#This Row],[tee time7]],'Turkey Shoot - groups'!$A$3:$F$20,4,FALSE),"")</f>
        <v/>
      </c>
      <c r="AR125" s="13" t="str">
        <f>_xlfn.IFNA(VLOOKUP(Table2[[#This Row],[tee time7]],'Turkey Shoot - groups'!$A$3:$F$20,5,FALSE),"")</f>
        <v/>
      </c>
      <c r="AS125" s="68" t="str">
        <f>IF(AND(Table2[[#This Row],[gap7]]="NA",Table2[[#This Row],[round7]]&lt;4/24),0,IFERROR((MAX(starting_interval,IF(Table2[[#This Row],[gap7]]="NA",Table2[[#This Row],[avg gap]],Table2[[#This Row],[gap7]]))-starting_interval)*Table2[[#This Row],[followers7]]/Table2[[#This Row],[group size7]],""))</f>
        <v/>
      </c>
      <c r="AT125" s="72">
        <f>COUNT(Table2[[#This Row],[Tee time1]],Table2[[#This Row],[tee time2]],Table2[[#This Row],[tee time3]],Table2[[#This Row],[tee time4]],Table2[[#This Row],[tee time5]],Table2[[#This Row],[tee time6]],Table2[[#This Row],[tee time7]])</f>
        <v>2</v>
      </c>
      <c r="AU125" s="4">
        <f>IFERROR(AVERAGE(Table2[[#This Row],[Tee time1]],Table2[[#This Row],[tee time2]],Table2[[#This Row],[tee time3]],Table2[[#This Row],[tee time4]],Table2[[#This Row],[tee time5]],Table2[[#This Row],[tee time6]],Table2[[#This Row],[tee time7]]),"")</f>
        <v>0.39930555555555558</v>
      </c>
      <c r="AV125" s="11">
        <f>IFERROR(MEDIAN(Table2[[#This Row],[round1]],Table2[[#This Row],[Round2]],Table2[[#This Row],[round3]],Table2[[#This Row],[round4]],Table2[[#This Row],[round5]],Table2[[#This Row],[round6]],Table2[[#This Row],[round7]]),"")</f>
        <v>0.18263888888888885</v>
      </c>
      <c r="AW125" s="11">
        <f>IFERROR(AVERAGE(Table2[[#This Row],[gap1]],Table2[[#This Row],[gap2]],Table2[[#This Row],[gap3]],Table2[[#This Row],[gap4]],Table2[[#This Row],[gap5]],Table2[[#This Row],[gap6]],Table2[[#This Row],[gap7]]),"")</f>
        <v>6.2499999999999778E-3</v>
      </c>
      <c r="AX125" s="9">
        <f>IFERROR((Table2[[#This Row],[avg gap]]-starting_interval)*24*60*Table2[[#This Row],[Count]],"NA")</f>
        <v>-2.0000000000000631</v>
      </c>
      <c r="AY12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25" s="2"/>
    </row>
    <row r="126" spans="1:52" x14ac:dyDescent="0.3">
      <c r="A126" s="10" t="s">
        <v>86</v>
      </c>
      <c r="B126" s="1" t="s">
        <v>325</v>
      </c>
      <c r="C126" s="19">
        <v>26.5</v>
      </c>
      <c r="D126" s="32" t="str">
        <f>_xlfn.IFNA(VLOOKUP(Table2[[#This Row],[Name]],'Classic day 1 - players'!$A$2:$B$64,2,FALSE),"")</f>
        <v/>
      </c>
      <c r="E126" s="33" t="str">
        <f>IF(Table2[[#This Row],[Tee time1]]&lt;&gt;"",COUNTIF('Classic day 1 - players'!$B$2:$B$64,"="&amp;Table2[[#This Row],[Tee time1]]),"")</f>
        <v/>
      </c>
      <c r="F126" s="33" t="str">
        <f>_xlfn.IFNA(VLOOKUP(Table2[[#This Row],[Tee time1]],'Classic day 1 - groups'!$A$3:$F$20,6,FALSE),"")</f>
        <v/>
      </c>
      <c r="G126" s="11" t="str">
        <f>_xlfn.IFNA(VLOOKUP(Table2[[#This Row],[Tee time1]],'Classic day 1 - groups'!$A$3:$F$20,4,FALSE),"")</f>
        <v/>
      </c>
      <c r="H126" s="12" t="str">
        <f>_xlfn.IFNA(VLOOKUP(Table2[[#This Row],[Tee time1]],'Classic day 1 - groups'!$A$3:$F$20,5,FALSE),"")</f>
        <v/>
      </c>
      <c r="I126" s="69" t="str">
        <f>IFERROR((MAX(starting_interval,IF(Table2[[#This Row],[gap1]]="NA",Table2[[#This Row],[avg gap]],Table2[[#This Row],[gap1]]))-starting_interval)*Table2[[#This Row],[followers1]]/Table2[[#This Row],[group size]],"")</f>
        <v/>
      </c>
      <c r="J126" s="32" t="str">
        <f>_xlfn.IFNA(VLOOKUP(Table2[[#This Row],[Name]],'Classic day 2 - players'!$A$2:$B$64,2,FALSE),"")</f>
        <v/>
      </c>
      <c r="K126" s="33" t="str">
        <f>IF(Table2[[#This Row],[tee time2]]&lt;&gt;"",COUNTIF('Classic day 2 - players'!$B$2:$B$64,"="&amp;Table2[[#This Row],[tee time2]]),"")</f>
        <v/>
      </c>
      <c r="L126" s="33" t="str">
        <f>_xlfn.IFNA(VLOOKUP(Table2[[#This Row],[tee time2]],'Classic day 2 - groups'!$A$3:$F$20,6,FALSE),"")</f>
        <v/>
      </c>
      <c r="M126" s="4" t="str">
        <f>_xlfn.IFNA(VLOOKUP(Table2[[#This Row],[tee time2]],'Classic day 2 - groups'!$A$3:$F$20,4,FALSE),"")</f>
        <v/>
      </c>
      <c r="N126" s="65" t="str">
        <f>_xlfn.IFNA(VLOOKUP(Table2[[#This Row],[tee time2]],'Classic day 2 - groups'!$A$3:$F$20,5,FALSE),"")</f>
        <v/>
      </c>
      <c r="O126" s="69" t="str">
        <f>IFERROR((MAX(starting_interval,IF(Table2[[#This Row],[gap2]]="NA",Table2[[#This Row],[avg gap]],Table2[[#This Row],[gap2]]))-starting_interval)*Table2[[#This Row],[followers2]]/Table2[[#This Row],[group size2]],"")</f>
        <v/>
      </c>
      <c r="P126" s="32" t="str">
        <f>_xlfn.IFNA(VLOOKUP(Table2[[#This Row],[Name]],'Summer FD - players'!$A$2:$B$65,2,FALSE),"")</f>
        <v/>
      </c>
      <c r="Q126" s="59" t="str">
        <f>IF(Table2[[#This Row],[tee time3]]&lt;&gt;"",COUNTIF('Summer FD - players'!$B$2:$B$65,"="&amp;Table2[[#This Row],[tee time3]]),"")</f>
        <v/>
      </c>
      <c r="R126" s="59" t="str">
        <f>_xlfn.IFNA(VLOOKUP(Table2[[#This Row],[tee time3]],'Summer FD - groups'!$A$3:$F$20,6,FALSE),"")</f>
        <v/>
      </c>
      <c r="S126" s="4" t="str">
        <f>_xlfn.IFNA(VLOOKUP(Table2[[#This Row],[tee time3]],'Summer FD - groups'!$A$3:$F$20,4,FALSE),"")</f>
        <v/>
      </c>
      <c r="T126" s="13" t="str">
        <f>_xlfn.IFNA(VLOOKUP(Table2[[#This Row],[tee time3]],'Summer FD - groups'!$A$3:$F$20,5,FALSE),"")</f>
        <v/>
      </c>
      <c r="U126" s="69" t="str">
        <f>IF(Table2[[#This Row],[avg gap]]&lt;&gt;"",IFERROR((MAX(starting_interval,IF(Table2[[#This Row],[gap3]]="NA",Table2[[#This Row],[avg gap]],Table2[[#This Row],[gap3]]))-starting_interval)*Table2[[#This Row],[followers3]]/Table2[[#This Row],[group size3]],""),"")</f>
        <v/>
      </c>
      <c r="V126" s="32">
        <f>_xlfn.IFNA(VLOOKUP(Table2[[#This Row],[Name]],'6-6-6 - players'!$A$2:$B$69,2,FALSE),"")</f>
        <v>0.34722222222222227</v>
      </c>
      <c r="W126" s="59">
        <f>IF(Table2[[#This Row],[tee time4]]&lt;&gt;"",COUNTIF('6-6-6 - players'!$B$2:$B$69,"="&amp;Table2[[#This Row],[tee time4]]),"")</f>
        <v>4</v>
      </c>
      <c r="X126" s="59">
        <f>_xlfn.IFNA(VLOOKUP(Table2[[#This Row],[tee time4]],'6-6-6 - groups'!$A$3:$F$20,6,FALSE),"")</f>
        <v>60</v>
      </c>
      <c r="Y126" s="4">
        <f>_xlfn.IFNA(VLOOKUP(Table2[[#This Row],[tee time4]],'6-6-6 - groups'!$A$3:$F$20,4,FALSE),"")</f>
        <v>0.1736111111111111</v>
      </c>
      <c r="Z126" s="13">
        <f>_xlfn.IFNA(VLOOKUP(Table2[[#This Row],[tee time4]],'6-6-6 - groups'!$A$3:$F$20,5,FALSE),"")</f>
        <v>4.8611111111112049E-3</v>
      </c>
      <c r="AA126" s="69">
        <f>IF(Table2[[#This Row],[avg gap]]&lt;&gt;"",IFERROR((MAX(starting_interval,IF(Table2[[#This Row],[gap4]]="NA",Table2[[#This Row],[avg gap]],Table2[[#This Row],[gap4]]))-starting_interval)*Table2[[#This Row],[followers4]]/Table2[[#This Row],[group size4]],""),"")</f>
        <v>0</v>
      </c>
      <c r="AB126" s="32" t="str">
        <f>_xlfn.IFNA(VLOOKUP(Table2[[#This Row],[Name]],'Fall FD - players'!$A$2:$B$65,2,FALSE),"")</f>
        <v/>
      </c>
      <c r="AC126" s="59" t="str">
        <f>IF(Table2[[#This Row],[tee time5]]&lt;&gt;"",COUNTIF('Fall FD - players'!$B$2:$B$65,"="&amp;Table2[[#This Row],[tee time5]]),"")</f>
        <v/>
      </c>
      <c r="AD126" s="59" t="str">
        <f>_xlfn.IFNA(VLOOKUP(Table2[[#This Row],[tee time5]],'Fall FD - groups'!$A$3:$F$20,6,FALSE),"")</f>
        <v/>
      </c>
      <c r="AE126" s="4" t="str">
        <f>_xlfn.IFNA(VLOOKUP(Table2[[#This Row],[tee time5]],'Fall FD - groups'!$A$3:$F$20,4,FALSE),"")</f>
        <v/>
      </c>
      <c r="AF126" s="13" t="str">
        <f>IFERROR(MIN(_xlfn.IFNA(VLOOKUP(Table2[[#This Row],[tee time5]],'Fall FD - groups'!$A$3:$F$20,5,FALSE),""),starting_interval + Table2[[#This Row],[round5]] - standard_round_time),"")</f>
        <v/>
      </c>
      <c r="AG126" s="69" t="str">
        <f>IF(AND(Table2[[#This Row],[gap5]]="NA",Table2[[#This Row],[round5]]&lt;4/24),0,IFERROR((MAX(starting_interval,IF(Table2[[#This Row],[gap5]]="NA",Table2[[#This Row],[avg gap]],Table2[[#This Row],[gap5]]))-starting_interval)*Table2[[#This Row],[followers5]]/Table2[[#This Row],[group size5]],""))</f>
        <v/>
      </c>
      <c r="AH126" s="32" t="str">
        <f>_xlfn.IFNA(VLOOKUP(Table2[[#This Row],[Name]],'Stableford - players'!$A$2:$B$65,2,FALSE),"")</f>
        <v/>
      </c>
      <c r="AI126" s="59" t="str">
        <f>IF(Table2[[#This Row],[tee time6]]&lt;&gt;"",COUNTIF('Stableford - players'!$B$2:$B$65,"="&amp;Table2[[#This Row],[tee time6]]),"")</f>
        <v/>
      </c>
      <c r="AJ126" s="59" t="str">
        <f>_xlfn.IFNA(VLOOKUP(Table2[[#This Row],[tee time6]],'Stableford - groups'!$A$3:$F$20,6,FALSE),"")</f>
        <v/>
      </c>
      <c r="AK126" s="11" t="str">
        <f>_xlfn.IFNA(VLOOKUP(Table2[[#This Row],[tee time6]],'Stableford - groups'!$A$3:$F$20,4,FALSE),"")</f>
        <v/>
      </c>
      <c r="AL126" s="13" t="str">
        <f>_xlfn.IFNA(VLOOKUP(Table2[[#This Row],[tee time6]],'Stableford - groups'!$A$3:$F$20,5,FALSE),"")</f>
        <v/>
      </c>
      <c r="AM126" s="68" t="str">
        <f>IF(AND(Table2[[#This Row],[gap6]]="NA",Table2[[#This Row],[round6]]&lt;4/24),0,IFERROR((MAX(starting_interval,IF(Table2[[#This Row],[gap6]]="NA",Table2[[#This Row],[avg gap]],Table2[[#This Row],[gap6]]))-starting_interval)*Table2[[#This Row],[followers6]]/Table2[[#This Row],[group size6]],""))</f>
        <v/>
      </c>
      <c r="AN126" s="32" t="str">
        <f>_xlfn.IFNA(VLOOKUP(Table2[[#This Row],[Name]],'Turkey Shoot - players'!$A$2:$B$65,2,FALSE),"")</f>
        <v/>
      </c>
      <c r="AO126" s="59" t="str">
        <f>IF(Table2[[#This Row],[tee time7]]&lt;&gt;"",COUNTIF('Turkey Shoot - players'!$B$2:$B$65,"="&amp;Table2[[#This Row],[tee time7]]),"")</f>
        <v/>
      </c>
      <c r="AP126" s="59" t="str">
        <f>_xlfn.IFNA(VLOOKUP(Table2[[#This Row],[tee time7]],'Stableford - groups'!$A$3:$F$20,6,FALSE),"")</f>
        <v/>
      </c>
      <c r="AQ126" s="11" t="str">
        <f>_xlfn.IFNA(VLOOKUP(Table2[[#This Row],[tee time7]],'Turkey Shoot - groups'!$A$3:$F$20,4,FALSE),"")</f>
        <v/>
      </c>
      <c r="AR126" s="13" t="str">
        <f>_xlfn.IFNA(VLOOKUP(Table2[[#This Row],[tee time7]],'Turkey Shoot - groups'!$A$3:$F$20,5,FALSE),"")</f>
        <v/>
      </c>
      <c r="AS126" s="68" t="str">
        <f>IF(AND(Table2[[#This Row],[gap7]]="NA",Table2[[#This Row],[round7]]&lt;4/24),0,IFERROR((MAX(starting_interval,IF(Table2[[#This Row],[gap7]]="NA",Table2[[#This Row],[avg gap]],Table2[[#This Row],[gap7]]))-starting_interval)*Table2[[#This Row],[followers7]]/Table2[[#This Row],[group size7]],""))</f>
        <v/>
      </c>
      <c r="AT126" s="72">
        <f>COUNT(Table2[[#This Row],[Tee time1]],Table2[[#This Row],[tee time2]],Table2[[#This Row],[tee time3]],Table2[[#This Row],[tee time4]],Table2[[#This Row],[tee time5]],Table2[[#This Row],[tee time6]],Table2[[#This Row],[tee time7]])</f>
        <v>1</v>
      </c>
      <c r="AU126" s="4">
        <f>IFERROR(AVERAGE(Table2[[#This Row],[Tee time1]],Table2[[#This Row],[tee time2]],Table2[[#This Row],[tee time3]],Table2[[#This Row],[tee time4]],Table2[[#This Row],[tee time5]],Table2[[#This Row],[tee time6]],Table2[[#This Row],[tee time7]]),"")</f>
        <v>0.34722222222222227</v>
      </c>
      <c r="AV126" s="11">
        <f>IFERROR(MEDIAN(Table2[[#This Row],[round1]],Table2[[#This Row],[Round2]],Table2[[#This Row],[round3]],Table2[[#This Row],[round4]],Table2[[#This Row],[round5]],Table2[[#This Row],[round6]],Table2[[#This Row],[round7]]),"")</f>
        <v>0.1736111111111111</v>
      </c>
      <c r="AW126" s="11">
        <f>IFERROR(AVERAGE(Table2[[#This Row],[gap1]],Table2[[#This Row],[gap2]],Table2[[#This Row],[gap3]],Table2[[#This Row],[gap4]],Table2[[#This Row],[gap5]],Table2[[#This Row],[gap6]],Table2[[#This Row],[gap7]]),"")</f>
        <v>4.8611111111112049E-3</v>
      </c>
      <c r="AX126" s="9">
        <f>IFERROR((Table2[[#This Row],[avg gap]]-starting_interval)*24*60*Table2[[#This Row],[Count]],"NA")</f>
        <v>-2.9999999999998646</v>
      </c>
      <c r="AY126"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26" s="2"/>
    </row>
    <row r="127" spans="1:52" x14ac:dyDescent="0.3">
      <c r="A127" s="10" t="s">
        <v>150</v>
      </c>
      <c r="B127" s="1" t="s">
        <v>391</v>
      </c>
      <c r="C127" s="19">
        <v>25.7</v>
      </c>
      <c r="D127" s="32" t="str">
        <f>_xlfn.IFNA(VLOOKUP(Table2[[#This Row],[Name]],'Classic day 1 - players'!$A$2:$B$64,2,FALSE),"")</f>
        <v/>
      </c>
      <c r="E127" s="33" t="str">
        <f>IF(Table2[[#This Row],[Tee time1]]&lt;&gt;"",COUNTIF('Classic day 1 - players'!$B$2:$B$64,"="&amp;Table2[[#This Row],[Tee time1]]),"")</f>
        <v/>
      </c>
      <c r="F127" s="33" t="str">
        <f>_xlfn.IFNA(VLOOKUP(Table2[[#This Row],[Tee time1]],'Classic day 1 - groups'!$A$3:$F$20,6,FALSE),"")</f>
        <v/>
      </c>
      <c r="G127" s="11" t="str">
        <f>_xlfn.IFNA(VLOOKUP(Table2[[#This Row],[Tee time1]],'Classic day 1 - groups'!$A$3:$F$20,4,FALSE),"")</f>
        <v/>
      </c>
      <c r="H127" s="12" t="str">
        <f>_xlfn.IFNA(VLOOKUP(Table2[[#This Row],[Tee time1]],'Classic day 1 - groups'!$A$3:$F$20,5,FALSE),"")</f>
        <v/>
      </c>
      <c r="I127" s="69" t="str">
        <f>IFERROR((MAX(starting_interval,IF(Table2[[#This Row],[gap1]]="NA",Table2[[#This Row],[avg gap]],Table2[[#This Row],[gap1]]))-starting_interval)*Table2[[#This Row],[followers1]]/Table2[[#This Row],[group size]],"")</f>
        <v/>
      </c>
      <c r="J127" s="32" t="str">
        <f>_xlfn.IFNA(VLOOKUP(Table2[[#This Row],[Name]],'Classic day 2 - players'!$A$2:$B$64,2,FALSE),"")</f>
        <v/>
      </c>
      <c r="K127" s="33" t="str">
        <f>IF(Table2[[#This Row],[tee time2]]&lt;&gt;"",COUNTIF('Classic day 2 - players'!$B$2:$B$64,"="&amp;Table2[[#This Row],[tee time2]]),"")</f>
        <v/>
      </c>
      <c r="L127" s="33" t="str">
        <f>_xlfn.IFNA(VLOOKUP(Table2[[#This Row],[tee time2]],'Classic day 2 - groups'!$A$3:$F$20,6,FALSE),"")</f>
        <v/>
      </c>
      <c r="M127" s="4" t="str">
        <f>_xlfn.IFNA(VLOOKUP(Table2[[#This Row],[tee time2]],'Classic day 2 - groups'!$A$3:$F$20,4,FALSE),"")</f>
        <v/>
      </c>
      <c r="N127" s="65" t="str">
        <f>_xlfn.IFNA(VLOOKUP(Table2[[#This Row],[tee time2]],'Classic day 2 - groups'!$A$3:$F$20,5,FALSE),"")</f>
        <v/>
      </c>
      <c r="O127" s="69" t="str">
        <f>IFERROR((MAX(starting_interval,IF(Table2[[#This Row],[gap2]]="NA",Table2[[#This Row],[avg gap]],Table2[[#This Row],[gap2]]))-starting_interval)*Table2[[#This Row],[followers2]]/Table2[[#This Row],[group size2]],"")</f>
        <v/>
      </c>
      <c r="P127" s="32" t="str">
        <f>_xlfn.IFNA(VLOOKUP(Table2[[#This Row],[Name]],'Summer FD - players'!$A$2:$B$65,2,FALSE),"")</f>
        <v/>
      </c>
      <c r="Q127" s="59" t="str">
        <f>IF(Table2[[#This Row],[tee time3]]&lt;&gt;"",COUNTIF('Summer FD - players'!$B$2:$B$65,"="&amp;Table2[[#This Row],[tee time3]]),"")</f>
        <v/>
      </c>
      <c r="R127" s="59" t="str">
        <f>_xlfn.IFNA(VLOOKUP(Table2[[#This Row],[tee time3]],'Summer FD - groups'!$A$3:$F$20,6,FALSE),"")</f>
        <v/>
      </c>
      <c r="S127" s="4" t="str">
        <f>_xlfn.IFNA(VLOOKUP(Table2[[#This Row],[tee time3]],'Summer FD - groups'!$A$3:$F$20,4,FALSE),"")</f>
        <v/>
      </c>
      <c r="T127" s="13" t="str">
        <f>_xlfn.IFNA(VLOOKUP(Table2[[#This Row],[tee time3]],'Summer FD - groups'!$A$3:$F$20,5,FALSE),"")</f>
        <v/>
      </c>
      <c r="U127" s="69" t="str">
        <f>IF(Table2[[#This Row],[avg gap]]&lt;&gt;"",IFERROR((MAX(starting_interval,IF(Table2[[#This Row],[gap3]]="NA",Table2[[#This Row],[avg gap]],Table2[[#This Row],[gap3]]))-starting_interval)*Table2[[#This Row],[followers3]]/Table2[[#This Row],[group size3]],""),"")</f>
        <v/>
      </c>
      <c r="V127" s="32">
        <f>_xlfn.IFNA(VLOOKUP(Table2[[#This Row],[Name]],'6-6-6 - players'!$A$2:$B$69,2,FALSE),"")</f>
        <v>0.34722222222222227</v>
      </c>
      <c r="W127" s="59">
        <f>IF(Table2[[#This Row],[tee time4]]&lt;&gt;"",COUNTIF('6-6-6 - players'!$B$2:$B$69,"="&amp;Table2[[#This Row],[tee time4]]),"")</f>
        <v>4</v>
      </c>
      <c r="X127" s="59">
        <f>_xlfn.IFNA(VLOOKUP(Table2[[#This Row],[tee time4]],'6-6-6 - groups'!$A$3:$F$20,6,FALSE),"")</f>
        <v>60</v>
      </c>
      <c r="Y127" s="4">
        <f>_xlfn.IFNA(VLOOKUP(Table2[[#This Row],[tee time4]],'6-6-6 - groups'!$A$3:$F$20,4,FALSE),"")</f>
        <v>0.1736111111111111</v>
      </c>
      <c r="Z127" s="13">
        <f>_xlfn.IFNA(VLOOKUP(Table2[[#This Row],[tee time4]],'6-6-6 - groups'!$A$3:$F$20,5,FALSE),"")</f>
        <v>4.8611111111112049E-3</v>
      </c>
      <c r="AA127" s="69">
        <f>IF(Table2[[#This Row],[avg gap]]&lt;&gt;"",IFERROR((MAX(starting_interval,IF(Table2[[#This Row],[gap4]]="NA",Table2[[#This Row],[avg gap]],Table2[[#This Row],[gap4]]))-starting_interval)*Table2[[#This Row],[followers4]]/Table2[[#This Row],[group size4]],""),"")</f>
        <v>0</v>
      </c>
      <c r="AB127" s="32" t="str">
        <f>_xlfn.IFNA(VLOOKUP(Table2[[#This Row],[Name]],'Fall FD - players'!$A$2:$B$65,2,FALSE),"")</f>
        <v/>
      </c>
      <c r="AC127" s="59" t="str">
        <f>IF(Table2[[#This Row],[tee time5]]&lt;&gt;"",COUNTIF('Fall FD - players'!$B$2:$B$65,"="&amp;Table2[[#This Row],[tee time5]]),"")</f>
        <v/>
      </c>
      <c r="AD127" s="59" t="str">
        <f>_xlfn.IFNA(VLOOKUP(Table2[[#This Row],[tee time5]],'Fall FD - groups'!$A$3:$F$20,6,FALSE),"")</f>
        <v/>
      </c>
      <c r="AE127" s="4" t="str">
        <f>_xlfn.IFNA(VLOOKUP(Table2[[#This Row],[tee time5]],'Fall FD - groups'!$A$3:$F$20,4,FALSE),"")</f>
        <v/>
      </c>
      <c r="AF127" s="13" t="str">
        <f>IFERROR(MIN(_xlfn.IFNA(VLOOKUP(Table2[[#This Row],[tee time5]],'Fall FD - groups'!$A$3:$F$20,5,FALSE),""),starting_interval + Table2[[#This Row],[round5]] - standard_round_time),"")</f>
        <v/>
      </c>
      <c r="AG127" s="69" t="str">
        <f>IF(AND(Table2[[#This Row],[gap5]]="NA",Table2[[#This Row],[round5]]&lt;4/24),0,IFERROR((MAX(starting_interval,IF(Table2[[#This Row],[gap5]]="NA",Table2[[#This Row],[avg gap]],Table2[[#This Row],[gap5]]))-starting_interval)*Table2[[#This Row],[followers5]]/Table2[[#This Row],[group size5]],""))</f>
        <v/>
      </c>
      <c r="AH127" s="32" t="str">
        <f>_xlfn.IFNA(VLOOKUP(Table2[[#This Row],[Name]],'Stableford - players'!$A$2:$B$65,2,FALSE),"")</f>
        <v/>
      </c>
      <c r="AI127" s="59" t="str">
        <f>IF(Table2[[#This Row],[tee time6]]&lt;&gt;"",COUNTIF('Stableford - players'!$B$2:$B$65,"="&amp;Table2[[#This Row],[tee time6]]),"")</f>
        <v/>
      </c>
      <c r="AJ127" s="59" t="str">
        <f>_xlfn.IFNA(VLOOKUP(Table2[[#This Row],[tee time6]],'Stableford - groups'!$A$3:$F$20,6,FALSE),"")</f>
        <v/>
      </c>
      <c r="AK127" s="11" t="str">
        <f>_xlfn.IFNA(VLOOKUP(Table2[[#This Row],[tee time6]],'Stableford - groups'!$A$3:$F$20,4,FALSE),"")</f>
        <v/>
      </c>
      <c r="AL127" s="13" t="str">
        <f>_xlfn.IFNA(VLOOKUP(Table2[[#This Row],[tee time6]],'Stableford - groups'!$A$3:$F$20,5,FALSE),"")</f>
        <v/>
      </c>
      <c r="AM127" s="68" t="str">
        <f>IF(AND(Table2[[#This Row],[gap6]]="NA",Table2[[#This Row],[round6]]&lt;4/24),0,IFERROR((MAX(starting_interval,IF(Table2[[#This Row],[gap6]]="NA",Table2[[#This Row],[avg gap]],Table2[[#This Row],[gap6]]))-starting_interval)*Table2[[#This Row],[followers6]]/Table2[[#This Row],[group size6]],""))</f>
        <v/>
      </c>
      <c r="AN127" s="32" t="str">
        <f>_xlfn.IFNA(VLOOKUP(Table2[[#This Row],[Name]],'Turkey Shoot - players'!$A$2:$B$65,2,FALSE),"")</f>
        <v/>
      </c>
      <c r="AO127" s="59" t="str">
        <f>IF(Table2[[#This Row],[tee time7]]&lt;&gt;"",COUNTIF('Turkey Shoot - players'!$B$2:$B$65,"="&amp;Table2[[#This Row],[tee time7]]),"")</f>
        <v/>
      </c>
      <c r="AP127" s="59" t="str">
        <f>_xlfn.IFNA(VLOOKUP(Table2[[#This Row],[tee time7]],'Stableford - groups'!$A$3:$F$20,6,FALSE),"")</f>
        <v/>
      </c>
      <c r="AQ127" s="11" t="str">
        <f>_xlfn.IFNA(VLOOKUP(Table2[[#This Row],[tee time7]],'Turkey Shoot - groups'!$A$3:$F$20,4,FALSE),"")</f>
        <v/>
      </c>
      <c r="AR127" s="13" t="str">
        <f>_xlfn.IFNA(VLOOKUP(Table2[[#This Row],[tee time7]],'Turkey Shoot - groups'!$A$3:$F$20,5,FALSE),"")</f>
        <v/>
      </c>
      <c r="AS127" s="68" t="str">
        <f>IF(AND(Table2[[#This Row],[gap7]]="NA",Table2[[#This Row],[round7]]&lt;4/24),0,IFERROR((MAX(starting_interval,IF(Table2[[#This Row],[gap7]]="NA",Table2[[#This Row],[avg gap]],Table2[[#This Row],[gap7]]))-starting_interval)*Table2[[#This Row],[followers7]]/Table2[[#This Row],[group size7]],""))</f>
        <v/>
      </c>
      <c r="AT127" s="72">
        <f>COUNT(Table2[[#This Row],[Tee time1]],Table2[[#This Row],[tee time2]],Table2[[#This Row],[tee time3]],Table2[[#This Row],[tee time4]],Table2[[#This Row],[tee time5]],Table2[[#This Row],[tee time6]],Table2[[#This Row],[tee time7]])</f>
        <v>1</v>
      </c>
      <c r="AU127" s="4">
        <f>IFERROR(AVERAGE(Table2[[#This Row],[Tee time1]],Table2[[#This Row],[tee time2]],Table2[[#This Row],[tee time3]],Table2[[#This Row],[tee time4]],Table2[[#This Row],[tee time5]],Table2[[#This Row],[tee time6]],Table2[[#This Row],[tee time7]]),"")</f>
        <v>0.34722222222222227</v>
      </c>
      <c r="AV127" s="11">
        <f>IFERROR(MEDIAN(Table2[[#This Row],[round1]],Table2[[#This Row],[Round2]],Table2[[#This Row],[round3]],Table2[[#This Row],[round4]],Table2[[#This Row],[round5]],Table2[[#This Row],[round6]],Table2[[#This Row],[round7]]),"")</f>
        <v>0.1736111111111111</v>
      </c>
      <c r="AW127" s="11">
        <f>IFERROR(AVERAGE(Table2[[#This Row],[gap1]],Table2[[#This Row],[gap2]],Table2[[#This Row],[gap3]],Table2[[#This Row],[gap4]],Table2[[#This Row],[gap5]],Table2[[#This Row],[gap6]],Table2[[#This Row],[gap7]]),"")</f>
        <v>4.8611111111112049E-3</v>
      </c>
      <c r="AX127" s="9">
        <f>IFERROR((Table2[[#This Row],[avg gap]]-starting_interval)*24*60*Table2[[#This Row],[Count]],"NA")</f>
        <v>-2.9999999999998646</v>
      </c>
      <c r="AY127"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27" s="2"/>
    </row>
    <row r="128" spans="1:52" x14ac:dyDescent="0.3">
      <c r="A128" s="10" t="s">
        <v>42</v>
      </c>
      <c r="B128" s="1" t="s">
        <v>280</v>
      </c>
      <c r="C128" s="19">
        <v>5.5</v>
      </c>
      <c r="D128" s="32" t="str">
        <f>_xlfn.IFNA(VLOOKUP(Table2[[#This Row],[Name]],'Classic day 1 - players'!$A$2:$B$64,2,FALSE),"")</f>
        <v/>
      </c>
      <c r="E128" s="33" t="str">
        <f>IF(Table2[[#This Row],[Tee time1]]&lt;&gt;"",COUNTIF('Classic day 1 - players'!$B$2:$B$64,"="&amp;Table2[[#This Row],[Tee time1]]),"")</f>
        <v/>
      </c>
      <c r="F128" s="4" t="str">
        <f>_xlfn.IFNA(VLOOKUP(Table2[[#This Row],[Tee time1]],'Classic day 1 - groups'!$A$3:$F$20,6,FALSE),"")</f>
        <v/>
      </c>
      <c r="G128" s="11" t="str">
        <f>_xlfn.IFNA(VLOOKUP(Table2[[#This Row],[Tee time1]],'Classic day 1 - groups'!$A$3:$F$20,4,FALSE),"")</f>
        <v/>
      </c>
      <c r="H128" s="12" t="str">
        <f>_xlfn.IFNA(VLOOKUP(Table2[[#This Row],[Tee time1]],'Classic day 1 - groups'!$A$3:$F$20,5,FALSE),"")</f>
        <v/>
      </c>
      <c r="I128" s="69" t="str">
        <f>IFERROR((MAX(starting_interval,IF(Table2[[#This Row],[gap1]]="NA",Table2[[#This Row],[avg gap]],Table2[[#This Row],[gap1]]))-starting_interval)*Table2[[#This Row],[followers1]]/Table2[[#This Row],[group size]],"")</f>
        <v/>
      </c>
      <c r="J128" s="32" t="str">
        <f>_xlfn.IFNA(VLOOKUP(Table2[[#This Row],[Name]],'Classic day 2 - players'!$A$2:$B$64,2,FALSE),"")</f>
        <v/>
      </c>
      <c r="K128" s="4" t="str">
        <f>IF(Table2[[#This Row],[tee time2]]&lt;&gt;"",COUNTIF('Classic day 2 - players'!$B$2:$B$64,"="&amp;Table2[[#This Row],[tee time2]]),"")</f>
        <v/>
      </c>
      <c r="L128" s="4" t="str">
        <f>_xlfn.IFNA(VLOOKUP(Table2[[#This Row],[tee time2]],'Classic day 2 - groups'!$A$3:$F$20,6,FALSE),"")</f>
        <v/>
      </c>
      <c r="M128" s="4" t="str">
        <f>_xlfn.IFNA(VLOOKUP(Table2[[#This Row],[tee time2]],'Classic day 2 - groups'!$A$3:$F$20,4,FALSE),"")</f>
        <v/>
      </c>
      <c r="N128" s="65" t="str">
        <f>_xlfn.IFNA(VLOOKUP(Table2[[#This Row],[tee time2]],'Classic day 2 - groups'!$A$3:$F$20,5,FALSE),"")</f>
        <v/>
      </c>
      <c r="O128" s="69" t="str">
        <f>IFERROR((MAX(starting_interval,IF(Table2[[#This Row],[gap2]]="NA",Table2[[#This Row],[avg gap]],Table2[[#This Row],[gap2]]))-starting_interval)*Table2[[#This Row],[followers2]]/Table2[[#This Row],[group size2]],"")</f>
        <v/>
      </c>
      <c r="P128" s="32" t="str">
        <f>_xlfn.IFNA(VLOOKUP(Table2[[#This Row],[Name]],'Summer FD - players'!$A$2:$B$65,2,FALSE),"")</f>
        <v/>
      </c>
      <c r="Q128" s="59" t="str">
        <f>IF(Table2[[#This Row],[tee time3]]&lt;&gt;"",COUNTIF('Summer FD - players'!$B$2:$B$65,"="&amp;Table2[[#This Row],[tee time3]]),"")</f>
        <v/>
      </c>
      <c r="R128" s="59" t="str">
        <f>_xlfn.IFNA(VLOOKUP(Table2[[#This Row],[tee time3]],'Summer FD - groups'!$A$3:$F$20,6,FALSE),"")</f>
        <v/>
      </c>
      <c r="S128" s="4" t="str">
        <f>_xlfn.IFNA(VLOOKUP(Table2[[#This Row],[tee time3]],'Summer FD - groups'!$A$3:$F$20,4,FALSE),"")</f>
        <v/>
      </c>
      <c r="T128" s="13" t="str">
        <f>_xlfn.IFNA(VLOOKUP(Table2[[#This Row],[tee time3]],'Summer FD - groups'!$A$3:$F$20,5,FALSE),"")</f>
        <v/>
      </c>
      <c r="U128" s="69" t="str">
        <f>IF(Table2[[#This Row],[avg gap]]&lt;&gt;"",IFERROR((MAX(starting_interval,IF(Table2[[#This Row],[gap3]]="NA",Table2[[#This Row],[avg gap]],Table2[[#This Row],[gap3]]))-starting_interval)*Table2[[#This Row],[followers3]]/Table2[[#This Row],[group size3]],""),"")</f>
        <v/>
      </c>
      <c r="V128" s="32" t="str">
        <f>_xlfn.IFNA(VLOOKUP(Table2[[#This Row],[Name]],'6-6-6 - players'!$A$2:$B$69,2,FALSE),"")</f>
        <v/>
      </c>
      <c r="W128" s="59" t="str">
        <f>IF(Table2[[#This Row],[tee time4]]&lt;&gt;"",COUNTIF('6-6-6 - players'!$B$2:$B$69,"="&amp;Table2[[#This Row],[tee time4]]),"")</f>
        <v/>
      </c>
      <c r="X128" s="59" t="str">
        <f>_xlfn.IFNA(VLOOKUP(Table2[[#This Row],[tee time4]],'6-6-6 - groups'!$A$3:$F$20,6,FALSE),"")</f>
        <v/>
      </c>
      <c r="Y128" s="4" t="str">
        <f>_xlfn.IFNA(VLOOKUP(Table2[[#This Row],[tee time4]],'6-6-6 - groups'!$A$3:$F$20,4,FALSE),"")</f>
        <v/>
      </c>
      <c r="Z128" s="13" t="str">
        <f>_xlfn.IFNA(VLOOKUP(Table2[[#This Row],[tee time4]],'6-6-6 - groups'!$A$3:$F$20,5,FALSE),"")</f>
        <v/>
      </c>
      <c r="AA128" s="69" t="str">
        <f>IF(Table2[[#This Row],[avg gap]]&lt;&gt;"",IFERROR((MAX(starting_interval,IF(Table2[[#This Row],[gap4]]="NA",Table2[[#This Row],[avg gap]],Table2[[#This Row],[gap4]]))-starting_interval)*Table2[[#This Row],[followers4]]/Table2[[#This Row],[group size4]],""),"")</f>
        <v/>
      </c>
      <c r="AB128" s="32" t="str">
        <f>_xlfn.IFNA(VLOOKUP(Table2[[#This Row],[Name]],'Fall FD - players'!$A$2:$B$65,2,FALSE),"")</f>
        <v/>
      </c>
      <c r="AC128" s="59" t="str">
        <f>IF(Table2[[#This Row],[tee time5]]&lt;&gt;"",COUNTIF('Fall FD - players'!$B$2:$B$65,"="&amp;Table2[[#This Row],[tee time5]]),"")</f>
        <v/>
      </c>
      <c r="AD128" s="59" t="str">
        <f>_xlfn.IFNA(VLOOKUP(Table2[[#This Row],[tee time5]],'Fall FD - groups'!$A$3:$F$20,6,FALSE),"")</f>
        <v/>
      </c>
      <c r="AE128" s="4" t="str">
        <f>_xlfn.IFNA(VLOOKUP(Table2[[#This Row],[tee time5]],'Fall FD - groups'!$A$3:$F$20,4,FALSE),"")</f>
        <v/>
      </c>
      <c r="AF128" s="13" t="str">
        <f>IFERROR(MIN(_xlfn.IFNA(VLOOKUP(Table2[[#This Row],[tee time5]],'Fall FD - groups'!$A$3:$F$20,5,FALSE),""),starting_interval + Table2[[#This Row],[round5]] - standard_round_time),"")</f>
        <v/>
      </c>
      <c r="AG128" s="69" t="str">
        <f>IF(AND(Table2[[#This Row],[gap5]]="NA",Table2[[#This Row],[round5]]&lt;4/24),0,IFERROR((MAX(starting_interval,IF(Table2[[#This Row],[gap5]]="NA",Table2[[#This Row],[avg gap]],Table2[[#This Row],[gap5]]))-starting_interval)*Table2[[#This Row],[followers5]]/Table2[[#This Row],[group size5]],""))</f>
        <v/>
      </c>
      <c r="AH128" s="32">
        <f>_xlfn.IFNA(VLOOKUP(Table2[[#This Row],[Name]],'Stableford - players'!$A$2:$B$65,2,FALSE),"")</f>
        <v>0.3611111111111111</v>
      </c>
      <c r="AI128" s="59">
        <f>IF(Table2[[#This Row],[tee time6]]&lt;&gt;"",COUNTIF('Stableford - players'!$B$2:$B$65,"="&amp;Table2[[#This Row],[tee time6]]),"")</f>
        <v>2</v>
      </c>
      <c r="AJ128" s="59">
        <f>_xlfn.IFNA(VLOOKUP(Table2[[#This Row],[tee time6]],'Stableford - groups'!$A$3:$F$20,6,FALSE),"")</f>
        <v>44</v>
      </c>
      <c r="AK128" s="11">
        <f>_xlfn.IFNA(VLOOKUP(Table2[[#This Row],[tee time6]],'Stableford - groups'!$A$3:$F$20,4,FALSE),"")</f>
        <v>0.16388888888888892</v>
      </c>
      <c r="AL128" s="13">
        <f>_xlfn.IFNA(VLOOKUP(Table2[[#This Row],[tee time6]],'Stableford - groups'!$A$3:$F$20,5,FALSE),"")</f>
        <v>4.8611111111110938E-3</v>
      </c>
      <c r="AM128" s="68">
        <f>IF(AND(Table2[[#This Row],[gap6]]="NA",Table2[[#This Row],[round6]]&lt;4/24),0,IFERROR((MAX(starting_interval,IF(Table2[[#This Row],[gap6]]="NA",Table2[[#This Row],[avg gap]],Table2[[#This Row],[gap6]]))-starting_interval)*Table2[[#This Row],[followers6]]/Table2[[#This Row],[group size6]],""))</f>
        <v>0</v>
      </c>
      <c r="AN128" s="32" t="str">
        <f>_xlfn.IFNA(VLOOKUP(Table2[[#This Row],[Name]],'Turkey Shoot - players'!$A$2:$B$65,2,FALSE),"")</f>
        <v/>
      </c>
      <c r="AO128" s="59" t="str">
        <f>IF(Table2[[#This Row],[tee time7]]&lt;&gt;"",COUNTIF('Turkey Shoot - players'!$B$2:$B$65,"="&amp;Table2[[#This Row],[tee time7]]),"")</f>
        <v/>
      </c>
      <c r="AP128" s="59" t="str">
        <f>_xlfn.IFNA(VLOOKUP(Table2[[#This Row],[tee time7]],'Stableford - groups'!$A$3:$F$20,6,FALSE),"")</f>
        <v/>
      </c>
      <c r="AQ128" s="11" t="str">
        <f>_xlfn.IFNA(VLOOKUP(Table2[[#This Row],[tee time7]],'Turkey Shoot - groups'!$A$3:$F$20,4,FALSE),"")</f>
        <v/>
      </c>
      <c r="AR128" s="13" t="str">
        <f>_xlfn.IFNA(VLOOKUP(Table2[[#This Row],[tee time7]],'Turkey Shoot - groups'!$A$3:$F$20,5,FALSE),"")</f>
        <v/>
      </c>
      <c r="AS128" s="68" t="str">
        <f>IF(AND(Table2[[#This Row],[gap7]]="NA",Table2[[#This Row],[round7]]&lt;4/24),0,IFERROR((MAX(starting_interval,IF(Table2[[#This Row],[gap7]]="NA",Table2[[#This Row],[avg gap]],Table2[[#This Row],[gap7]]))-starting_interval)*Table2[[#This Row],[followers7]]/Table2[[#This Row],[group size7]],""))</f>
        <v/>
      </c>
      <c r="AT128" s="72">
        <f>COUNT(Table2[[#This Row],[Tee time1]],Table2[[#This Row],[tee time2]],Table2[[#This Row],[tee time3]],Table2[[#This Row],[tee time4]],Table2[[#This Row],[tee time5]],Table2[[#This Row],[tee time6]],Table2[[#This Row],[tee time7]])</f>
        <v>1</v>
      </c>
      <c r="AU128" s="4">
        <f>IFERROR(AVERAGE(Table2[[#This Row],[Tee time1]],Table2[[#This Row],[tee time2]],Table2[[#This Row],[tee time3]],Table2[[#This Row],[tee time4]],Table2[[#This Row],[tee time5]],Table2[[#This Row],[tee time6]],Table2[[#This Row],[tee time7]]),"")</f>
        <v>0.3611111111111111</v>
      </c>
      <c r="AV128" s="11">
        <f>IFERROR(MEDIAN(Table2[[#This Row],[round1]],Table2[[#This Row],[Round2]],Table2[[#This Row],[round3]],Table2[[#This Row],[round4]],Table2[[#This Row],[round5]],Table2[[#This Row],[round6]],Table2[[#This Row],[round7]]),"")</f>
        <v>0.16388888888888892</v>
      </c>
      <c r="AW128" s="11">
        <f>IFERROR(AVERAGE(Table2[[#This Row],[gap1]],Table2[[#This Row],[gap2]],Table2[[#This Row],[gap3]],Table2[[#This Row],[gap4]],Table2[[#This Row],[gap5]],Table2[[#This Row],[gap6]],Table2[[#This Row],[gap7]]),"")</f>
        <v>4.8611111111110938E-3</v>
      </c>
      <c r="AX128" s="9">
        <f>IFERROR((Table2[[#This Row],[avg gap]]-starting_interval)*24*60*Table2[[#This Row],[Count]],"NA")</f>
        <v>-3.0000000000000244</v>
      </c>
      <c r="AY128"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28" s="2"/>
    </row>
    <row r="129" spans="1:52" x14ac:dyDescent="0.3">
      <c r="A129" s="10" t="s">
        <v>82</v>
      </c>
      <c r="B129" s="1" t="s">
        <v>321</v>
      </c>
      <c r="C129" s="19">
        <v>11.7</v>
      </c>
      <c r="D129" s="32" t="str">
        <f>_xlfn.IFNA(VLOOKUP(Table2[[#This Row],[Name]],'Classic day 1 - players'!$A$2:$B$64,2,FALSE),"")</f>
        <v/>
      </c>
      <c r="E129" s="33" t="str">
        <f>IF(Table2[[#This Row],[Tee time1]]&lt;&gt;"",COUNTIF('Classic day 1 - players'!$B$2:$B$64,"="&amp;Table2[[#This Row],[Tee time1]]),"")</f>
        <v/>
      </c>
      <c r="F129" s="4" t="str">
        <f>_xlfn.IFNA(VLOOKUP(Table2[[#This Row],[Tee time1]],'Classic day 1 - groups'!$A$3:$F$20,6,FALSE),"")</f>
        <v/>
      </c>
      <c r="G129" s="11" t="str">
        <f>_xlfn.IFNA(VLOOKUP(Table2[[#This Row],[Tee time1]],'Classic day 1 - groups'!$A$3:$F$20,4,FALSE),"")</f>
        <v/>
      </c>
      <c r="H129" s="12" t="str">
        <f>_xlfn.IFNA(VLOOKUP(Table2[[#This Row],[Tee time1]],'Classic day 1 - groups'!$A$3:$F$20,5,FALSE),"")</f>
        <v/>
      </c>
      <c r="I129" s="69" t="str">
        <f>IFERROR((MAX(starting_interval,IF(Table2[[#This Row],[gap1]]="NA",Table2[[#This Row],[avg gap]],Table2[[#This Row],[gap1]]))-starting_interval)*Table2[[#This Row],[followers1]]/Table2[[#This Row],[group size]],"")</f>
        <v/>
      </c>
      <c r="J129" s="32" t="str">
        <f>_xlfn.IFNA(VLOOKUP(Table2[[#This Row],[Name]],'Classic day 2 - players'!$A$2:$B$64,2,FALSE),"")</f>
        <v/>
      </c>
      <c r="K129" s="4" t="str">
        <f>IF(Table2[[#This Row],[tee time2]]&lt;&gt;"",COUNTIF('Classic day 2 - players'!$B$2:$B$64,"="&amp;Table2[[#This Row],[tee time2]]),"")</f>
        <v/>
      </c>
      <c r="L129" s="4" t="str">
        <f>_xlfn.IFNA(VLOOKUP(Table2[[#This Row],[tee time2]],'Classic day 2 - groups'!$A$3:$F$20,6,FALSE),"")</f>
        <v/>
      </c>
      <c r="M129" s="4" t="str">
        <f>_xlfn.IFNA(VLOOKUP(Table2[[#This Row],[tee time2]],'Classic day 2 - groups'!$A$3:$F$20,4,FALSE),"")</f>
        <v/>
      </c>
      <c r="N129" s="65" t="str">
        <f>_xlfn.IFNA(VLOOKUP(Table2[[#This Row],[tee time2]],'Classic day 2 - groups'!$A$3:$F$20,5,FALSE),"")</f>
        <v/>
      </c>
      <c r="O129" s="69" t="str">
        <f>IFERROR((MAX(starting_interval,IF(Table2[[#This Row],[gap2]]="NA",Table2[[#This Row],[avg gap]],Table2[[#This Row],[gap2]]))-starting_interval)*Table2[[#This Row],[followers2]]/Table2[[#This Row],[group size2]],"")</f>
        <v/>
      </c>
      <c r="P129" s="32" t="str">
        <f>_xlfn.IFNA(VLOOKUP(Table2[[#This Row],[Name]],'Summer FD - players'!$A$2:$B$65,2,FALSE),"")</f>
        <v/>
      </c>
      <c r="Q129" s="59" t="str">
        <f>IF(Table2[[#This Row],[tee time3]]&lt;&gt;"",COUNTIF('Summer FD - players'!$B$2:$B$65,"="&amp;Table2[[#This Row],[tee time3]]),"")</f>
        <v/>
      </c>
      <c r="R129" s="59" t="str">
        <f>_xlfn.IFNA(VLOOKUP(Table2[[#This Row],[tee time3]],'Summer FD - groups'!$A$3:$F$20,6,FALSE),"")</f>
        <v/>
      </c>
      <c r="S129" s="4" t="str">
        <f>_xlfn.IFNA(VLOOKUP(Table2[[#This Row],[tee time3]],'Summer FD - groups'!$A$3:$F$20,4,FALSE),"")</f>
        <v/>
      </c>
      <c r="T129" s="13" t="str">
        <f>_xlfn.IFNA(VLOOKUP(Table2[[#This Row],[tee time3]],'Summer FD - groups'!$A$3:$F$20,5,FALSE),"")</f>
        <v/>
      </c>
      <c r="U129" s="69" t="str">
        <f>IF(Table2[[#This Row],[avg gap]]&lt;&gt;"",IFERROR((MAX(starting_interval,IF(Table2[[#This Row],[gap3]]="NA",Table2[[#This Row],[avg gap]],Table2[[#This Row],[gap3]]))-starting_interval)*Table2[[#This Row],[followers3]]/Table2[[#This Row],[group size3]],""),"")</f>
        <v/>
      </c>
      <c r="V129" s="32" t="str">
        <f>_xlfn.IFNA(VLOOKUP(Table2[[#This Row],[Name]],'6-6-6 - players'!$A$2:$B$69,2,FALSE),"")</f>
        <v/>
      </c>
      <c r="W129" s="59" t="str">
        <f>IF(Table2[[#This Row],[tee time4]]&lt;&gt;"",COUNTIF('6-6-6 - players'!$B$2:$B$69,"="&amp;Table2[[#This Row],[tee time4]]),"")</f>
        <v/>
      </c>
      <c r="X129" s="59" t="str">
        <f>_xlfn.IFNA(VLOOKUP(Table2[[#This Row],[tee time4]],'6-6-6 - groups'!$A$3:$F$20,6,FALSE),"")</f>
        <v/>
      </c>
      <c r="Y129" s="4" t="str">
        <f>_xlfn.IFNA(VLOOKUP(Table2[[#This Row],[tee time4]],'6-6-6 - groups'!$A$3:$F$20,4,FALSE),"")</f>
        <v/>
      </c>
      <c r="Z129" s="13" t="str">
        <f>_xlfn.IFNA(VLOOKUP(Table2[[#This Row],[tee time4]],'6-6-6 - groups'!$A$3:$F$20,5,FALSE),"")</f>
        <v/>
      </c>
      <c r="AA129" s="69" t="str">
        <f>IF(Table2[[#This Row],[avg gap]]&lt;&gt;"",IFERROR((MAX(starting_interval,IF(Table2[[#This Row],[gap4]]="NA",Table2[[#This Row],[avg gap]],Table2[[#This Row],[gap4]]))-starting_interval)*Table2[[#This Row],[followers4]]/Table2[[#This Row],[group size4]],""),"")</f>
        <v/>
      </c>
      <c r="AB129" s="32" t="str">
        <f>_xlfn.IFNA(VLOOKUP(Table2[[#This Row],[Name]],'Fall FD - players'!$A$2:$B$65,2,FALSE),"")</f>
        <v/>
      </c>
      <c r="AC129" s="59" t="str">
        <f>IF(Table2[[#This Row],[tee time5]]&lt;&gt;"",COUNTIF('Fall FD - players'!$B$2:$B$65,"="&amp;Table2[[#This Row],[tee time5]]),"")</f>
        <v/>
      </c>
      <c r="AD129" s="59" t="str">
        <f>_xlfn.IFNA(VLOOKUP(Table2[[#This Row],[tee time5]],'Fall FD - groups'!$A$3:$F$20,6,FALSE),"")</f>
        <v/>
      </c>
      <c r="AE129" s="4" t="str">
        <f>_xlfn.IFNA(VLOOKUP(Table2[[#This Row],[tee time5]],'Fall FD - groups'!$A$3:$F$20,4,FALSE),"")</f>
        <v/>
      </c>
      <c r="AF129" s="13" t="str">
        <f>IFERROR(MIN(_xlfn.IFNA(VLOOKUP(Table2[[#This Row],[tee time5]],'Fall FD - groups'!$A$3:$F$20,5,FALSE),""),starting_interval + Table2[[#This Row],[round5]] - standard_round_time),"")</f>
        <v/>
      </c>
      <c r="AG129" s="69" t="str">
        <f>IF(AND(Table2[[#This Row],[gap5]]="NA",Table2[[#This Row],[round5]]&lt;4/24),0,IFERROR((MAX(starting_interval,IF(Table2[[#This Row],[gap5]]="NA",Table2[[#This Row],[avg gap]],Table2[[#This Row],[gap5]]))-starting_interval)*Table2[[#This Row],[followers5]]/Table2[[#This Row],[group size5]],""))</f>
        <v/>
      </c>
      <c r="AH129" s="32">
        <f>_xlfn.IFNA(VLOOKUP(Table2[[#This Row],[Name]],'Stableford - players'!$A$2:$B$65,2,FALSE),"")</f>
        <v>0.3611111111111111</v>
      </c>
      <c r="AI129" s="59">
        <f>IF(Table2[[#This Row],[tee time6]]&lt;&gt;"",COUNTIF('Stableford - players'!$B$2:$B$65,"="&amp;Table2[[#This Row],[tee time6]]),"")</f>
        <v>2</v>
      </c>
      <c r="AJ129" s="59">
        <f>_xlfn.IFNA(VLOOKUP(Table2[[#This Row],[tee time6]],'Stableford - groups'!$A$3:$F$20,6,FALSE),"")</f>
        <v>44</v>
      </c>
      <c r="AK129" s="11">
        <f>_xlfn.IFNA(VLOOKUP(Table2[[#This Row],[tee time6]],'Stableford - groups'!$A$3:$F$20,4,FALSE),"")</f>
        <v>0.16388888888888892</v>
      </c>
      <c r="AL129" s="13">
        <f>_xlfn.IFNA(VLOOKUP(Table2[[#This Row],[tee time6]],'Stableford - groups'!$A$3:$F$20,5,FALSE),"")</f>
        <v>4.8611111111110938E-3</v>
      </c>
      <c r="AM129" s="68">
        <f>IF(AND(Table2[[#This Row],[gap6]]="NA",Table2[[#This Row],[round6]]&lt;4/24),0,IFERROR((MAX(starting_interval,IF(Table2[[#This Row],[gap6]]="NA",Table2[[#This Row],[avg gap]],Table2[[#This Row],[gap6]]))-starting_interval)*Table2[[#This Row],[followers6]]/Table2[[#This Row],[group size6]],""))</f>
        <v>0</v>
      </c>
      <c r="AN129" s="32" t="str">
        <f>_xlfn.IFNA(VLOOKUP(Table2[[#This Row],[Name]],'Turkey Shoot - players'!$A$2:$B$65,2,FALSE),"")</f>
        <v/>
      </c>
      <c r="AO129" s="59" t="str">
        <f>IF(Table2[[#This Row],[tee time7]]&lt;&gt;"",COUNTIF('Turkey Shoot - players'!$B$2:$B$65,"="&amp;Table2[[#This Row],[tee time7]]),"")</f>
        <v/>
      </c>
      <c r="AP129" s="59" t="str">
        <f>_xlfn.IFNA(VLOOKUP(Table2[[#This Row],[tee time7]],'Stableford - groups'!$A$3:$F$20,6,FALSE),"")</f>
        <v/>
      </c>
      <c r="AQ129" s="11" t="str">
        <f>_xlfn.IFNA(VLOOKUP(Table2[[#This Row],[tee time7]],'Turkey Shoot - groups'!$A$3:$F$20,4,FALSE),"")</f>
        <v/>
      </c>
      <c r="AR129" s="13" t="str">
        <f>_xlfn.IFNA(VLOOKUP(Table2[[#This Row],[tee time7]],'Turkey Shoot - groups'!$A$3:$F$20,5,FALSE),"")</f>
        <v/>
      </c>
      <c r="AS129" s="68" t="str">
        <f>IF(AND(Table2[[#This Row],[gap7]]="NA",Table2[[#This Row],[round7]]&lt;4/24),0,IFERROR((MAX(starting_interval,IF(Table2[[#This Row],[gap7]]="NA",Table2[[#This Row],[avg gap]],Table2[[#This Row],[gap7]]))-starting_interval)*Table2[[#This Row],[followers7]]/Table2[[#This Row],[group size7]],""))</f>
        <v/>
      </c>
      <c r="AT129" s="72">
        <f>COUNT(Table2[[#This Row],[Tee time1]],Table2[[#This Row],[tee time2]],Table2[[#This Row],[tee time3]],Table2[[#This Row],[tee time4]],Table2[[#This Row],[tee time5]],Table2[[#This Row],[tee time6]],Table2[[#This Row],[tee time7]])</f>
        <v>1</v>
      </c>
      <c r="AU129" s="4">
        <f>IFERROR(AVERAGE(Table2[[#This Row],[Tee time1]],Table2[[#This Row],[tee time2]],Table2[[#This Row],[tee time3]],Table2[[#This Row],[tee time4]],Table2[[#This Row],[tee time5]],Table2[[#This Row],[tee time6]],Table2[[#This Row],[tee time7]]),"")</f>
        <v>0.3611111111111111</v>
      </c>
      <c r="AV129" s="11">
        <f>IFERROR(MEDIAN(Table2[[#This Row],[round1]],Table2[[#This Row],[Round2]],Table2[[#This Row],[round3]],Table2[[#This Row],[round4]],Table2[[#This Row],[round5]],Table2[[#This Row],[round6]],Table2[[#This Row],[round7]]),"")</f>
        <v>0.16388888888888892</v>
      </c>
      <c r="AW129" s="11">
        <f>IFERROR(AVERAGE(Table2[[#This Row],[gap1]],Table2[[#This Row],[gap2]],Table2[[#This Row],[gap3]],Table2[[#This Row],[gap4]],Table2[[#This Row],[gap5]],Table2[[#This Row],[gap6]],Table2[[#This Row],[gap7]]),"")</f>
        <v>4.8611111111110938E-3</v>
      </c>
      <c r="AX129" s="9">
        <f>IFERROR((Table2[[#This Row],[avg gap]]-starting_interval)*24*60*Table2[[#This Row],[Count]],"NA")</f>
        <v>-3.0000000000000244</v>
      </c>
      <c r="AY12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29" s="2"/>
    </row>
    <row r="130" spans="1:52" x14ac:dyDescent="0.3">
      <c r="A130" s="10" t="s">
        <v>110</v>
      </c>
      <c r="B130" s="1" t="s">
        <v>350</v>
      </c>
      <c r="C130" s="19">
        <v>19.8</v>
      </c>
      <c r="D130" s="32" t="str">
        <f>_xlfn.IFNA(VLOOKUP(Table2[[#This Row],[Name]],'Classic day 1 - players'!$A$2:$B$64,2,FALSE),"")</f>
        <v/>
      </c>
      <c r="E130" s="33" t="str">
        <f>IF(Table2[[#This Row],[Tee time1]]&lt;&gt;"",COUNTIF('Classic day 1 - players'!$B$2:$B$64,"="&amp;Table2[[#This Row],[Tee time1]]),"")</f>
        <v/>
      </c>
      <c r="F130" s="33" t="str">
        <f>_xlfn.IFNA(VLOOKUP(Table2[[#This Row],[Tee time1]],'Classic day 1 - groups'!$A$3:$F$20,6,FALSE),"")</f>
        <v/>
      </c>
      <c r="G130" s="11" t="str">
        <f>_xlfn.IFNA(VLOOKUP(Table2[[#This Row],[Tee time1]],'Classic day 1 - groups'!$A$3:$F$20,4,FALSE),"")</f>
        <v/>
      </c>
      <c r="H130" s="12" t="str">
        <f>_xlfn.IFNA(VLOOKUP(Table2[[#This Row],[Tee time1]],'Classic day 1 - groups'!$A$3:$F$20,5,FALSE),"")</f>
        <v/>
      </c>
      <c r="I130" s="69" t="str">
        <f>IFERROR((MAX(starting_interval,IF(Table2[[#This Row],[gap1]]="NA",Table2[[#This Row],[avg gap]],Table2[[#This Row],[gap1]]))-starting_interval)*Table2[[#This Row],[followers1]]/Table2[[#This Row],[group size]],"")</f>
        <v/>
      </c>
      <c r="J130" s="32" t="str">
        <f>_xlfn.IFNA(VLOOKUP(Table2[[#This Row],[Name]],'Classic day 2 - players'!$A$2:$B$64,2,FALSE),"")</f>
        <v/>
      </c>
      <c r="K130" s="34" t="str">
        <f>IF(Table2[[#This Row],[tee time2]]&lt;&gt;"",COUNTIF('Classic day 2 - players'!$B$2:$B$64,"="&amp;Table2[[#This Row],[tee time2]]),"")</f>
        <v/>
      </c>
      <c r="L130" s="34" t="str">
        <f>_xlfn.IFNA(VLOOKUP(Table2[[#This Row],[tee time2]],'Classic day 2 - groups'!$A$3:$F$20,6,FALSE),"")</f>
        <v/>
      </c>
      <c r="M130" s="4" t="str">
        <f>_xlfn.IFNA(VLOOKUP(Table2[[#This Row],[tee time2]],'Classic day 2 - groups'!$A$3:$F$20,4,FALSE),"")</f>
        <v/>
      </c>
      <c r="N130" s="65" t="str">
        <f>_xlfn.IFNA(VLOOKUP(Table2[[#This Row],[tee time2]],'Classic day 2 - groups'!$A$3:$F$20,5,FALSE),"")</f>
        <v/>
      </c>
      <c r="O130" s="69" t="str">
        <f>IFERROR((MAX(starting_interval,IF(Table2[[#This Row],[gap2]]="NA",Table2[[#This Row],[avg gap]],Table2[[#This Row],[gap2]]))-starting_interval)*Table2[[#This Row],[followers2]]/Table2[[#This Row],[group size2]],"")</f>
        <v/>
      </c>
      <c r="P130" s="32">
        <f>_xlfn.IFNA(VLOOKUP(Table2[[#This Row],[Name]],'Summer FD - players'!$A$2:$B$65,2,FALSE),"")</f>
        <v>0.39166666666666666</v>
      </c>
      <c r="Q130" s="59">
        <f>IF(Table2[[#This Row],[tee time3]]&lt;&gt;"",COUNTIF('Summer FD - players'!$B$2:$B$65,"="&amp;Table2[[#This Row],[tee time3]]),"")</f>
        <v>4</v>
      </c>
      <c r="R130" s="59">
        <f>_xlfn.IFNA(VLOOKUP(Table2[[#This Row],[tee time3]],'Summer FD - groups'!$A$3:$F$20,6,FALSE),"")</f>
        <v>28</v>
      </c>
      <c r="S130" s="4">
        <f>_xlfn.IFNA(VLOOKUP(Table2[[#This Row],[tee time3]],'Summer FD - groups'!$A$3:$F$20,4,FALSE),"")</f>
        <v>0.19722222222222224</v>
      </c>
      <c r="T130" s="13">
        <f>_xlfn.IFNA(VLOOKUP(Table2[[#This Row],[tee time3]],'Summer FD - groups'!$A$3:$F$20,5,FALSE),"")</f>
        <v>6.2499999999999778E-3</v>
      </c>
      <c r="U130" s="69">
        <f>IF(Table2[[#This Row],[avg gap]]&lt;&gt;"",IFERROR((MAX(starting_interval,IF(Table2[[#This Row],[gap3]]="NA",Table2[[#This Row],[avg gap]],Table2[[#This Row],[gap3]]))-starting_interval)*Table2[[#This Row],[followers3]]/Table2[[#This Row],[group size3]],""),"")</f>
        <v>0</v>
      </c>
      <c r="V130" s="32">
        <f>_xlfn.IFNA(VLOOKUP(Table2[[#This Row],[Name]],'6-6-6 - players'!$A$2:$B$69,2,FALSE),"")</f>
        <v>0.34027777777777773</v>
      </c>
      <c r="W130" s="59">
        <f>IF(Table2[[#This Row],[tee time4]]&lt;&gt;"",COUNTIF('6-6-6 - players'!$B$2:$B$69,"="&amp;Table2[[#This Row],[tee time4]]),"")</f>
        <v>4</v>
      </c>
      <c r="X130" s="59">
        <f>_xlfn.IFNA(VLOOKUP(Table2[[#This Row],[tee time4]],'6-6-6 - groups'!$A$3:$F$20,6,FALSE),"")</f>
        <v>64</v>
      </c>
      <c r="Y130" s="4">
        <f>_xlfn.IFNA(VLOOKUP(Table2[[#This Row],[tee time4]],'6-6-6 - groups'!$A$3:$F$20,4,FALSE),"")</f>
        <v>0.17569444444444443</v>
      </c>
      <c r="Z130" s="13">
        <f>_xlfn.IFNA(VLOOKUP(Table2[[#This Row],[tee time4]],'6-6-6 - groups'!$A$3:$F$20,5,FALSE),"")</f>
        <v>6.9444444444444198E-3</v>
      </c>
      <c r="AA130" s="69">
        <f>IF(Table2[[#This Row],[avg gap]]&lt;&gt;"",IFERROR((MAX(starting_interval,IF(Table2[[#This Row],[gap4]]="NA",Table2[[#This Row],[avg gap]],Table2[[#This Row],[gap4]]))-starting_interval)*Table2[[#This Row],[followers4]]/Table2[[#This Row],[group size4]],""),"")</f>
        <v>0</v>
      </c>
      <c r="AB130" s="32">
        <f>_xlfn.IFNA(VLOOKUP(Table2[[#This Row],[Name]],'Fall FD - players'!$A$2:$B$65,2,FALSE),"")</f>
        <v>0.4069444444444445</v>
      </c>
      <c r="AC130" s="59">
        <f>IF(Table2[[#This Row],[tee time5]]&lt;&gt;"",COUNTIF('Fall FD - players'!$B$2:$B$65,"="&amp;Table2[[#This Row],[tee time5]]),"")</f>
        <v>4</v>
      </c>
      <c r="AD130" s="59">
        <f>_xlfn.IFNA(VLOOKUP(Table2[[#This Row],[tee time5]],'Fall FD - groups'!$A$3:$F$20,6,FALSE),"")</f>
        <v>28</v>
      </c>
      <c r="AE130" s="4">
        <f>_xlfn.IFNA(VLOOKUP(Table2[[#This Row],[tee time5]],'Fall FD - groups'!$A$3:$F$20,4,FALSE),"")</f>
        <v>0.18194444444444452</v>
      </c>
      <c r="AF130" s="13">
        <f>IFERROR(MIN(_xlfn.IFNA(VLOOKUP(Table2[[#This Row],[tee time5]],'Fall FD - groups'!$A$3:$F$20,5,FALSE),""),starting_interval + Table2[[#This Row],[round5]] - standard_round_time),"")</f>
        <v>5.5555555555555358E-3</v>
      </c>
      <c r="AG130" s="69">
        <f>IF(AND(Table2[[#This Row],[gap5]]="NA",Table2[[#This Row],[round5]]&lt;4/24),0,IFERROR((MAX(starting_interval,IF(Table2[[#This Row],[gap5]]="NA",Table2[[#This Row],[avg gap]],Table2[[#This Row],[gap5]]))-starting_interval)*Table2[[#This Row],[followers5]]/Table2[[#This Row],[group size5]],""))</f>
        <v>0</v>
      </c>
      <c r="AH130" s="32" t="str">
        <f>_xlfn.IFNA(VLOOKUP(Table2[[#This Row],[Name]],'Stableford - players'!$A$2:$B$65,2,FALSE),"")</f>
        <v/>
      </c>
      <c r="AI130" s="59" t="str">
        <f>IF(Table2[[#This Row],[tee time6]]&lt;&gt;"",COUNTIF('Stableford - players'!$B$2:$B$65,"="&amp;Table2[[#This Row],[tee time6]]),"")</f>
        <v/>
      </c>
      <c r="AJ130" s="59" t="str">
        <f>_xlfn.IFNA(VLOOKUP(Table2[[#This Row],[tee time6]],'Stableford - groups'!$A$3:$F$20,6,FALSE),"")</f>
        <v/>
      </c>
      <c r="AK130" s="11" t="str">
        <f>_xlfn.IFNA(VLOOKUP(Table2[[#This Row],[tee time6]],'Stableford - groups'!$A$3:$F$20,4,FALSE),"")</f>
        <v/>
      </c>
      <c r="AL130" s="13" t="str">
        <f>_xlfn.IFNA(VLOOKUP(Table2[[#This Row],[tee time6]],'Stableford - groups'!$A$3:$F$20,5,FALSE),"")</f>
        <v/>
      </c>
      <c r="AM130" s="68" t="str">
        <f>IF(AND(Table2[[#This Row],[gap6]]="NA",Table2[[#This Row],[round6]]&lt;4/24),0,IFERROR((MAX(starting_interval,IF(Table2[[#This Row],[gap6]]="NA",Table2[[#This Row],[avg gap]],Table2[[#This Row],[gap6]]))-starting_interval)*Table2[[#This Row],[followers6]]/Table2[[#This Row],[group size6]],""))</f>
        <v/>
      </c>
      <c r="AN130" s="32" t="str">
        <f>_xlfn.IFNA(VLOOKUP(Table2[[#This Row],[Name]],'Turkey Shoot - players'!$A$2:$B$65,2,FALSE),"")</f>
        <v/>
      </c>
      <c r="AO130" s="59" t="str">
        <f>IF(Table2[[#This Row],[tee time7]]&lt;&gt;"",COUNTIF('Turkey Shoot - players'!$B$2:$B$65,"="&amp;Table2[[#This Row],[tee time7]]),"")</f>
        <v/>
      </c>
      <c r="AP130" s="59" t="str">
        <f>_xlfn.IFNA(VLOOKUP(Table2[[#This Row],[tee time7]],'Stableford - groups'!$A$3:$F$20,6,FALSE),"")</f>
        <v/>
      </c>
      <c r="AQ130" s="11" t="str">
        <f>_xlfn.IFNA(VLOOKUP(Table2[[#This Row],[tee time7]],'Turkey Shoot - groups'!$A$3:$F$20,4,FALSE),"")</f>
        <v/>
      </c>
      <c r="AR130" s="13" t="str">
        <f>_xlfn.IFNA(VLOOKUP(Table2[[#This Row],[tee time7]],'Turkey Shoot - groups'!$A$3:$F$20,5,FALSE),"")</f>
        <v/>
      </c>
      <c r="AS130" s="68" t="str">
        <f>IF(AND(Table2[[#This Row],[gap7]]="NA",Table2[[#This Row],[round7]]&lt;4/24),0,IFERROR((MAX(starting_interval,IF(Table2[[#This Row],[gap7]]="NA",Table2[[#This Row],[avg gap]],Table2[[#This Row],[gap7]]))-starting_interval)*Table2[[#This Row],[followers7]]/Table2[[#This Row],[group size7]],""))</f>
        <v/>
      </c>
      <c r="AT130" s="72">
        <f>COUNT(Table2[[#This Row],[Tee time1]],Table2[[#This Row],[tee time2]],Table2[[#This Row],[tee time3]],Table2[[#This Row],[tee time4]],Table2[[#This Row],[tee time5]],Table2[[#This Row],[tee time6]],Table2[[#This Row],[tee time7]])</f>
        <v>3</v>
      </c>
      <c r="AU130" s="4">
        <f>IFERROR(AVERAGE(Table2[[#This Row],[Tee time1]],Table2[[#This Row],[tee time2]],Table2[[#This Row],[tee time3]],Table2[[#This Row],[tee time4]],Table2[[#This Row],[tee time5]],Table2[[#This Row],[tee time6]],Table2[[#This Row],[tee time7]]),"")</f>
        <v>0.37962962962962959</v>
      </c>
      <c r="AV130" s="11">
        <f>IFERROR(MEDIAN(Table2[[#This Row],[round1]],Table2[[#This Row],[Round2]],Table2[[#This Row],[round3]],Table2[[#This Row],[round4]],Table2[[#This Row],[round5]],Table2[[#This Row],[round6]],Table2[[#This Row],[round7]]),"")</f>
        <v>0.18194444444444452</v>
      </c>
      <c r="AW130" s="11">
        <f>IFERROR(AVERAGE(Table2[[#This Row],[gap1]],Table2[[#This Row],[gap2]],Table2[[#This Row],[gap3]],Table2[[#This Row],[gap4]],Table2[[#This Row],[gap5]],Table2[[#This Row],[gap6]],Table2[[#This Row],[gap7]]),"")</f>
        <v>6.2499999999999778E-3</v>
      </c>
      <c r="AX130" s="9">
        <f>IFERROR((Table2[[#This Row],[avg gap]]-starting_interval)*24*60*Table2[[#This Row],[Count]],"NA")</f>
        <v>-3.0000000000000946</v>
      </c>
      <c r="AY13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30" s="2"/>
    </row>
    <row r="131" spans="1:52" x14ac:dyDescent="0.3">
      <c r="A131" s="10" t="s">
        <v>171</v>
      </c>
      <c r="B131" s="1" t="s">
        <v>412</v>
      </c>
      <c r="C131" s="19">
        <v>19</v>
      </c>
      <c r="D131" s="32" t="str">
        <f>_xlfn.IFNA(VLOOKUP(Table2[[#This Row],[Name]],'Classic day 1 - players'!$A$2:$B$64,2,FALSE),"")</f>
        <v/>
      </c>
      <c r="E131" s="33" t="str">
        <f>IF(Table2[[#This Row],[Tee time1]]&lt;&gt;"",COUNTIF('Classic day 1 - players'!$B$2:$B$64,"="&amp;Table2[[#This Row],[Tee time1]]),"")</f>
        <v/>
      </c>
      <c r="F131" s="33" t="str">
        <f>_xlfn.IFNA(VLOOKUP(Table2[[#This Row],[Tee time1]],'Classic day 1 - groups'!$A$3:$F$20,6,FALSE),"")</f>
        <v/>
      </c>
      <c r="G131" s="11" t="str">
        <f>_xlfn.IFNA(VLOOKUP(Table2[[#This Row],[Tee time1]],'Classic day 1 - groups'!$A$3:$F$20,4,FALSE),"")</f>
        <v/>
      </c>
      <c r="H131" s="12" t="str">
        <f>_xlfn.IFNA(VLOOKUP(Table2[[#This Row],[Tee time1]],'Classic day 1 - groups'!$A$3:$F$20,5,FALSE),"")</f>
        <v/>
      </c>
      <c r="I131" s="69" t="str">
        <f>IFERROR((MAX(starting_interval,IF(Table2[[#This Row],[gap1]]="NA",Table2[[#This Row],[avg gap]],Table2[[#This Row],[gap1]]))-starting_interval)*Table2[[#This Row],[followers1]]/Table2[[#This Row],[group size]],"")</f>
        <v/>
      </c>
      <c r="J131" s="32" t="str">
        <f>_xlfn.IFNA(VLOOKUP(Table2[[#This Row],[Name]],'Classic day 2 - players'!$A$2:$B$64,2,FALSE),"")</f>
        <v/>
      </c>
      <c r="K131" s="33" t="str">
        <f>IF(Table2[[#This Row],[tee time2]]&lt;&gt;"",COUNTIF('Classic day 2 - players'!$B$2:$B$64,"="&amp;Table2[[#This Row],[tee time2]]),"")</f>
        <v/>
      </c>
      <c r="L131" s="33" t="str">
        <f>_xlfn.IFNA(VLOOKUP(Table2[[#This Row],[tee time2]],'Classic day 2 - groups'!$A$3:$F$20,6,FALSE),"")</f>
        <v/>
      </c>
      <c r="M131" s="4" t="str">
        <f>_xlfn.IFNA(VLOOKUP(Table2[[#This Row],[tee time2]],'Classic day 2 - groups'!$A$3:$F$20,4,FALSE),"")</f>
        <v/>
      </c>
      <c r="N131" s="65" t="str">
        <f>_xlfn.IFNA(VLOOKUP(Table2[[#This Row],[tee time2]],'Classic day 2 - groups'!$A$3:$F$20,5,FALSE),"")</f>
        <v/>
      </c>
      <c r="O131" s="69" t="str">
        <f>IFERROR((MAX(starting_interval,IF(Table2[[#This Row],[gap2]]="NA",Table2[[#This Row],[avg gap]],Table2[[#This Row],[gap2]]))-starting_interval)*Table2[[#This Row],[followers2]]/Table2[[#This Row],[group size2]],"")</f>
        <v/>
      </c>
      <c r="P131" s="32">
        <f>_xlfn.IFNA(VLOOKUP(Table2[[#This Row],[Name]],'Summer FD - players'!$A$2:$B$65,2,FALSE),"")</f>
        <v>0.41250000000000003</v>
      </c>
      <c r="Q131" s="59">
        <f>IF(Table2[[#This Row],[tee time3]]&lt;&gt;"",COUNTIF('Summer FD - players'!$B$2:$B$65,"="&amp;Table2[[#This Row],[tee time3]]),"")</f>
        <v>4</v>
      </c>
      <c r="R131" s="59">
        <f>_xlfn.IFNA(VLOOKUP(Table2[[#This Row],[tee time3]],'Summer FD - groups'!$A$3:$F$20,6,FALSE),"")</f>
        <v>16</v>
      </c>
      <c r="S131" s="4">
        <f>_xlfn.IFNA(VLOOKUP(Table2[[#This Row],[tee time3]],'Summer FD - groups'!$A$3:$F$20,4,FALSE),"")</f>
        <v>0.19583333333333341</v>
      </c>
      <c r="T131" s="13">
        <f>_xlfn.IFNA(VLOOKUP(Table2[[#This Row],[tee time3]],'Summer FD - groups'!$A$3:$F$20,5,FALSE),"")</f>
        <v>4.1666666666667629E-3</v>
      </c>
      <c r="U131" s="69">
        <f>IF(Table2[[#This Row],[avg gap]]&lt;&gt;"",IFERROR((MAX(starting_interval,IF(Table2[[#This Row],[gap3]]="NA",Table2[[#This Row],[avg gap]],Table2[[#This Row],[gap3]]))-starting_interval)*Table2[[#This Row],[followers3]]/Table2[[#This Row],[group size3]],""),"")</f>
        <v>0</v>
      </c>
      <c r="V131" s="32" t="str">
        <f>_xlfn.IFNA(VLOOKUP(Table2[[#This Row],[Name]],'6-6-6 - players'!$A$2:$B$69,2,FALSE),"")</f>
        <v/>
      </c>
      <c r="W131" s="59" t="str">
        <f>IF(Table2[[#This Row],[tee time4]]&lt;&gt;"",COUNTIF('6-6-6 - players'!$B$2:$B$69,"="&amp;Table2[[#This Row],[tee time4]]),"")</f>
        <v/>
      </c>
      <c r="X131" s="59" t="str">
        <f>_xlfn.IFNA(VLOOKUP(Table2[[#This Row],[tee time4]],'6-6-6 - groups'!$A$3:$F$20,6,FALSE),"")</f>
        <v/>
      </c>
      <c r="Y131" s="4" t="str">
        <f>_xlfn.IFNA(VLOOKUP(Table2[[#This Row],[tee time4]],'6-6-6 - groups'!$A$3:$F$20,4,FALSE),"")</f>
        <v/>
      </c>
      <c r="Z131" s="13" t="str">
        <f>_xlfn.IFNA(VLOOKUP(Table2[[#This Row],[tee time4]],'6-6-6 - groups'!$A$3:$F$20,5,FALSE),"")</f>
        <v/>
      </c>
      <c r="AA131" s="69" t="str">
        <f>IF(Table2[[#This Row],[avg gap]]&lt;&gt;"",IFERROR((MAX(starting_interval,IF(Table2[[#This Row],[gap4]]="NA",Table2[[#This Row],[avg gap]],Table2[[#This Row],[gap4]]))-starting_interval)*Table2[[#This Row],[followers4]]/Table2[[#This Row],[group size4]],""),"")</f>
        <v/>
      </c>
      <c r="AB131" s="32" t="str">
        <f>_xlfn.IFNA(VLOOKUP(Table2[[#This Row],[Name]],'Fall FD - players'!$A$2:$B$65,2,FALSE),"")</f>
        <v/>
      </c>
      <c r="AC131" s="59" t="str">
        <f>IF(Table2[[#This Row],[tee time5]]&lt;&gt;"",COUNTIF('Fall FD - players'!$B$2:$B$65,"="&amp;Table2[[#This Row],[tee time5]]),"")</f>
        <v/>
      </c>
      <c r="AD131" s="59" t="str">
        <f>_xlfn.IFNA(VLOOKUP(Table2[[#This Row],[tee time5]],'Fall FD - groups'!$A$3:$F$20,6,FALSE),"")</f>
        <v/>
      </c>
      <c r="AE131" s="4" t="str">
        <f>_xlfn.IFNA(VLOOKUP(Table2[[#This Row],[tee time5]],'Fall FD - groups'!$A$3:$F$20,4,FALSE),"")</f>
        <v/>
      </c>
      <c r="AF131" s="13" t="str">
        <f>IFERROR(MIN(_xlfn.IFNA(VLOOKUP(Table2[[#This Row],[tee time5]],'Fall FD - groups'!$A$3:$F$20,5,FALSE),""),starting_interval + Table2[[#This Row],[round5]] - standard_round_time),"")</f>
        <v/>
      </c>
      <c r="AG131" s="69" t="str">
        <f>IF(AND(Table2[[#This Row],[gap5]]="NA",Table2[[#This Row],[round5]]&lt;4/24),0,IFERROR((MAX(starting_interval,IF(Table2[[#This Row],[gap5]]="NA",Table2[[#This Row],[avg gap]],Table2[[#This Row],[gap5]]))-starting_interval)*Table2[[#This Row],[followers5]]/Table2[[#This Row],[group size5]],""))</f>
        <v/>
      </c>
      <c r="AH131" s="32" t="str">
        <f>_xlfn.IFNA(VLOOKUP(Table2[[#This Row],[Name]],'Stableford - players'!$A$2:$B$65,2,FALSE),"")</f>
        <v/>
      </c>
      <c r="AI131" s="59" t="str">
        <f>IF(Table2[[#This Row],[tee time6]]&lt;&gt;"",COUNTIF('Stableford - players'!$B$2:$B$65,"="&amp;Table2[[#This Row],[tee time6]]),"")</f>
        <v/>
      </c>
      <c r="AJ131" s="59" t="str">
        <f>_xlfn.IFNA(VLOOKUP(Table2[[#This Row],[tee time6]],'Stableford - groups'!$A$3:$F$20,6,FALSE),"")</f>
        <v/>
      </c>
      <c r="AK131" s="11" t="str">
        <f>_xlfn.IFNA(VLOOKUP(Table2[[#This Row],[tee time6]],'Stableford - groups'!$A$3:$F$20,4,FALSE),"")</f>
        <v/>
      </c>
      <c r="AL131" s="13" t="str">
        <f>_xlfn.IFNA(VLOOKUP(Table2[[#This Row],[tee time6]],'Stableford - groups'!$A$3:$F$20,5,FALSE),"")</f>
        <v/>
      </c>
      <c r="AM131" s="68" t="str">
        <f>IF(AND(Table2[[#This Row],[gap6]]="NA",Table2[[#This Row],[round6]]&lt;4/24),0,IFERROR((MAX(starting_interval,IF(Table2[[#This Row],[gap6]]="NA",Table2[[#This Row],[avg gap]],Table2[[#This Row],[gap6]]))-starting_interval)*Table2[[#This Row],[followers6]]/Table2[[#This Row],[group size6]],""))</f>
        <v/>
      </c>
      <c r="AN131" s="32" t="str">
        <f>_xlfn.IFNA(VLOOKUP(Table2[[#This Row],[Name]],'Turkey Shoot - players'!$A$2:$B$65,2,FALSE),"")</f>
        <v/>
      </c>
      <c r="AO131" s="59" t="str">
        <f>IF(Table2[[#This Row],[tee time7]]&lt;&gt;"",COUNTIF('Turkey Shoot - players'!$B$2:$B$65,"="&amp;Table2[[#This Row],[tee time7]]),"")</f>
        <v/>
      </c>
      <c r="AP131" s="59" t="str">
        <f>_xlfn.IFNA(VLOOKUP(Table2[[#This Row],[tee time7]],'Stableford - groups'!$A$3:$F$20,6,FALSE),"")</f>
        <v/>
      </c>
      <c r="AQ131" s="11" t="str">
        <f>_xlfn.IFNA(VLOOKUP(Table2[[#This Row],[tee time7]],'Turkey Shoot - groups'!$A$3:$F$20,4,FALSE),"")</f>
        <v/>
      </c>
      <c r="AR131" s="13" t="str">
        <f>_xlfn.IFNA(VLOOKUP(Table2[[#This Row],[tee time7]],'Turkey Shoot - groups'!$A$3:$F$20,5,FALSE),"")</f>
        <v/>
      </c>
      <c r="AS131" s="68" t="str">
        <f>IF(AND(Table2[[#This Row],[gap7]]="NA",Table2[[#This Row],[round7]]&lt;4/24),0,IFERROR((MAX(starting_interval,IF(Table2[[#This Row],[gap7]]="NA",Table2[[#This Row],[avg gap]],Table2[[#This Row],[gap7]]))-starting_interval)*Table2[[#This Row],[followers7]]/Table2[[#This Row],[group size7]],""))</f>
        <v/>
      </c>
      <c r="AT131" s="72">
        <f>COUNT(Table2[[#This Row],[Tee time1]],Table2[[#This Row],[tee time2]],Table2[[#This Row],[tee time3]],Table2[[#This Row],[tee time4]],Table2[[#This Row],[tee time5]],Table2[[#This Row],[tee time6]],Table2[[#This Row],[tee time7]])</f>
        <v>1</v>
      </c>
      <c r="AU131" s="4">
        <f>IFERROR(AVERAGE(Table2[[#This Row],[Tee time1]],Table2[[#This Row],[tee time2]],Table2[[#This Row],[tee time3]],Table2[[#This Row],[tee time4]],Table2[[#This Row],[tee time5]],Table2[[#This Row],[tee time6]],Table2[[#This Row],[tee time7]]),"")</f>
        <v>0.41250000000000003</v>
      </c>
      <c r="AV131" s="11">
        <f>IFERROR(MEDIAN(Table2[[#This Row],[round1]],Table2[[#This Row],[Round2]],Table2[[#This Row],[round3]],Table2[[#This Row],[round4]],Table2[[#This Row],[round5]],Table2[[#This Row],[round6]],Table2[[#This Row],[round7]]),"")</f>
        <v>0.19583333333333341</v>
      </c>
      <c r="AW131" s="11">
        <f>IFERROR(AVERAGE(Table2[[#This Row],[gap1]],Table2[[#This Row],[gap2]],Table2[[#This Row],[gap3]],Table2[[#This Row],[gap4]],Table2[[#This Row],[gap5]],Table2[[#This Row],[gap6]],Table2[[#This Row],[gap7]]),"")</f>
        <v>4.1666666666667629E-3</v>
      </c>
      <c r="AX131" s="9">
        <f>IFERROR((Table2[[#This Row],[avg gap]]-starting_interval)*24*60*Table2[[#This Row],[Count]],"NA")</f>
        <v>-3.999999999999861</v>
      </c>
      <c r="AY13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31" s="2"/>
    </row>
    <row r="132" spans="1:52" x14ac:dyDescent="0.3">
      <c r="A132" s="10" t="s">
        <v>25</v>
      </c>
      <c r="B132" s="1" t="s">
        <v>263</v>
      </c>
      <c r="C132" s="19">
        <v>18.5</v>
      </c>
      <c r="D132" s="32" t="str">
        <f>_xlfn.IFNA(VLOOKUP(Table2[[#This Row],[Name]],'Classic day 1 - players'!$A$2:$B$64,2,FALSE),"")</f>
        <v/>
      </c>
      <c r="E132" s="33" t="str">
        <f>IF(Table2[[#This Row],[Tee time1]]&lt;&gt;"",COUNTIF('Classic day 1 - players'!$B$2:$B$64,"="&amp;Table2[[#This Row],[Tee time1]]),"")</f>
        <v/>
      </c>
      <c r="F132" s="33" t="str">
        <f>_xlfn.IFNA(VLOOKUP(Table2[[#This Row],[Tee time1]],'Classic day 1 - groups'!$A$3:$F$20,6,FALSE),"")</f>
        <v/>
      </c>
      <c r="G132" s="11" t="str">
        <f>_xlfn.IFNA(VLOOKUP(Table2[[#This Row],[Tee time1]],'Classic day 1 - groups'!$A$3:$F$20,4,FALSE),"")</f>
        <v/>
      </c>
      <c r="H132" s="12" t="str">
        <f>_xlfn.IFNA(VLOOKUP(Table2[[#This Row],[Tee time1]],'Classic day 1 - groups'!$A$3:$F$20,5,FALSE),"")</f>
        <v/>
      </c>
      <c r="I132" s="69" t="str">
        <f>IFERROR((MAX(starting_interval,IF(Table2[[#This Row],[gap1]]="NA",Table2[[#This Row],[avg gap]],Table2[[#This Row],[gap1]]))-starting_interval)*Table2[[#This Row],[followers1]]/Table2[[#This Row],[group size]],"")</f>
        <v/>
      </c>
      <c r="J132" s="32" t="str">
        <f>_xlfn.IFNA(VLOOKUP(Table2[[#This Row],[Name]],'Classic day 2 - players'!$A$2:$B$64,2,FALSE),"")</f>
        <v/>
      </c>
      <c r="K132" s="33" t="str">
        <f>IF(Table2[[#This Row],[tee time2]]&lt;&gt;"",COUNTIF('Classic day 2 - players'!$B$2:$B$64,"="&amp;Table2[[#This Row],[tee time2]]),"")</f>
        <v/>
      </c>
      <c r="L132" s="33" t="str">
        <f>_xlfn.IFNA(VLOOKUP(Table2[[#This Row],[tee time2]],'Classic day 2 - groups'!$A$3:$F$20,6,FALSE),"")</f>
        <v/>
      </c>
      <c r="M132" s="4" t="str">
        <f>_xlfn.IFNA(VLOOKUP(Table2[[#This Row],[tee time2]],'Classic day 2 - groups'!$A$3:$F$20,4,FALSE),"")</f>
        <v/>
      </c>
      <c r="N132" s="65" t="str">
        <f>_xlfn.IFNA(VLOOKUP(Table2[[#This Row],[tee time2]],'Classic day 2 - groups'!$A$3:$F$20,5,FALSE),"")</f>
        <v/>
      </c>
      <c r="O132" s="69" t="str">
        <f>IFERROR((MAX(starting_interval,IF(Table2[[#This Row],[gap2]]="NA",Table2[[#This Row],[avg gap]],Table2[[#This Row],[gap2]]))-starting_interval)*Table2[[#This Row],[followers2]]/Table2[[#This Row],[group size2]],"")</f>
        <v/>
      </c>
      <c r="P132" s="32">
        <f>_xlfn.IFNA(VLOOKUP(Table2[[#This Row],[Name]],'Summer FD - players'!$A$2:$B$65,2,FALSE),"")</f>
        <v>0.39861111111111108</v>
      </c>
      <c r="Q132" s="59">
        <f>IF(Table2[[#This Row],[tee time3]]&lt;&gt;"",COUNTIF('Summer FD - players'!$B$2:$B$65,"="&amp;Table2[[#This Row],[tee time3]]),"")</f>
        <v>4</v>
      </c>
      <c r="R132" s="59">
        <f>_xlfn.IFNA(VLOOKUP(Table2[[#This Row],[tee time3]],'Summer FD - groups'!$A$3:$F$20,6,FALSE),"")</f>
        <v>24</v>
      </c>
      <c r="S132" s="4">
        <f>_xlfn.IFNA(VLOOKUP(Table2[[#This Row],[tee time3]],'Summer FD - groups'!$A$3:$F$20,4,FALSE),"")</f>
        <v>0.19722222222222224</v>
      </c>
      <c r="T132" s="13">
        <f>_xlfn.IFNA(VLOOKUP(Table2[[#This Row],[tee time3]],'Summer FD - groups'!$A$3:$F$20,5,FALSE),"")</f>
        <v>6.2499999999999778E-3</v>
      </c>
      <c r="U132" s="69">
        <f>IF(Table2[[#This Row],[avg gap]]&lt;&gt;"",IFERROR((MAX(starting_interval,IF(Table2[[#This Row],[gap3]]="NA",Table2[[#This Row],[avg gap]],Table2[[#This Row],[gap3]]))-starting_interval)*Table2[[#This Row],[followers3]]/Table2[[#This Row],[group size3]],""),"")</f>
        <v>0</v>
      </c>
      <c r="V132" s="32">
        <f>_xlfn.IFNA(VLOOKUP(Table2[[#This Row],[Name]],'6-6-6 - players'!$A$2:$B$69,2,FALSE),"")</f>
        <v>0.40277777777777773</v>
      </c>
      <c r="W132" s="59">
        <f>IF(Table2[[#This Row],[tee time4]]&lt;&gt;"",COUNTIF('6-6-6 - players'!$B$2:$B$69,"="&amp;Table2[[#This Row],[tee time4]]),"")</f>
        <v>4</v>
      </c>
      <c r="X132" s="59">
        <f>_xlfn.IFNA(VLOOKUP(Table2[[#This Row],[tee time4]],'6-6-6 - groups'!$A$3:$F$20,6,FALSE),"")</f>
        <v>28</v>
      </c>
      <c r="Y132" s="4">
        <f>_xlfn.IFNA(VLOOKUP(Table2[[#This Row],[tee time4]],'6-6-6 - groups'!$A$3:$F$20,4,FALSE),"")</f>
        <v>0.17083333333333345</v>
      </c>
      <c r="Z132" s="13">
        <f>_xlfn.IFNA(VLOOKUP(Table2[[#This Row],[tee time4]],'6-6-6 - groups'!$A$3:$F$20,5,FALSE),"")</f>
        <v>6.2500000000000888E-3</v>
      </c>
      <c r="AA132" s="69">
        <f>IF(Table2[[#This Row],[avg gap]]&lt;&gt;"",IFERROR((MAX(starting_interval,IF(Table2[[#This Row],[gap4]]="NA",Table2[[#This Row],[avg gap]],Table2[[#This Row],[gap4]]))-starting_interval)*Table2[[#This Row],[followers4]]/Table2[[#This Row],[group size4]],""),"")</f>
        <v>0</v>
      </c>
      <c r="AB132" s="32" t="str">
        <f>_xlfn.IFNA(VLOOKUP(Table2[[#This Row],[Name]],'Fall FD - players'!$A$2:$B$65,2,FALSE),"")</f>
        <v/>
      </c>
      <c r="AC132" s="59" t="str">
        <f>IF(Table2[[#This Row],[tee time5]]&lt;&gt;"",COUNTIF('Fall FD - players'!$B$2:$B$65,"="&amp;Table2[[#This Row],[tee time5]]),"")</f>
        <v/>
      </c>
      <c r="AD132" s="59" t="str">
        <f>_xlfn.IFNA(VLOOKUP(Table2[[#This Row],[tee time5]],'Fall FD - groups'!$A$3:$F$20,6,FALSE),"")</f>
        <v/>
      </c>
      <c r="AE132" s="4" t="str">
        <f>_xlfn.IFNA(VLOOKUP(Table2[[#This Row],[tee time5]],'Fall FD - groups'!$A$3:$F$20,4,FALSE),"")</f>
        <v/>
      </c>
      <c r="AF132" s="13" t="str">
        <f>IFERROR(MIN(_xlfn.IFNA(VLOOKUP(Table2[[#This Row],[tee time5]],'Fall FD - groups'!$A$3:$F$20,5,FALSE),""),starting_interval + Table2[[#This Row],[round5]] - standard_round_time),"")</f>
        <v/>
      </c>
      <c r="AG132" s="69" t="str">
        <f>IF(AND(Table2[[#This Row],[gap5]]="NA",Table2[[#This Row],[round5]]&lt;4/24),0,IFERROR((MAX(starting_interval,IF(Table2[[#This Row],[gap5]]="NA",Table2[[#This Row],[avg gap]],Table2[[#This Row],[gap5]]))-starting_interval)*Table2[[#This Row],[followers5]]/Table2[[#This Row],[group size5]],""))</f>
        <v/>
      </c>
      <c r="AH132" s="32">
        <f>_xlfn.IFNA(VLOOKUP(Table2[[#This Row],[Name]],'Stableford - players'!$A$2:$B$65,2,FALSE),"")</f>
        <v>0.43055555555555558</v>
      </c>
      <c r="AI132" s="59">
        <f>IF(Table2[[#This Row],[tee time6]]&lt;&gt;"",COUNTIF('Stableford - players'!$B$2:$B$65,"="&amp;Table2[[#This Row],[tee time6]]),"")</f>
        <v>4</v>
      </c>
      <c r="AJ132" s="59">
        <f>_xlfn.IFNA(VLOOKUP(Table2[[#This Row],[tee time6]],'Stableford - groups'!$A$3:$F$20,6,FALSE),"")</f>
        <v>4</v>
      </c>
      <c r="AK132" s="11">
        <f>_xlfn.IFNA(VLOOKUP(Table2[[#This Row],[tee time6]],'Stableford - groups'!$A$3:$F$20,4,FALSE),"")</f>
        <v>0.17083333333333328</v>
      </c>
      <c r="AL132" s="13">
        <f>_xlfn.IFNA(VLOOKUP(Table2[[#This Row],[tee time6]],'Stableford - groups'!$A$3:$F$20,5,FALSE),"")</f>
        <v>5.5555555555555358E-3</v>
      </c>
      <c r="AM132" s="68">
        <f>IF(AND(Table2[[#This Row],[gap6]]="NA",Table2[[#This Row],[round6]]&lt;4/24),0,IFERROR((MAX(starting_interval,IF(Table2[[#This Row],[gap6]]="NA",Table2[[#This Row],[avg gap]],Table2[[#This Row],[gap6]]))-starting_interval)*Table2[[#This Row],[followers6]]/Table2[[#This Row],[group size6]],""))</f>
        <v>0</v>
      </c>
      <c r="AN132" s="32" t="str">
        <f>_xlfn.IFNA(VLOOKUP(Table2[[#This Row],[Name]],'Turkey Shoot - players'!$A$2:$B$65,2,FALSE),"")</f>
        <v/>
      </c>
      <c r="AO132" s="59" t="str">
        <f>IF(Table2[[#This Row],[tee time7]]&lt;&gt;"",COUNTIF('Turkey Shoot - players'!$B$2:$B$65,"="&amp;Table2[[#This Row],[tee time7]]),"")</f>
        <v/>
      </c>
      <c r="AP132" s="59" t="str">
        <f>_xlfn.IFNA(VLOOKUP(Table2[[#This Row],[tee time7]],'Stableford - groups'!$A$3:$F$20,6,FALSE),"")</f>
        <v/>
      </c>
      <c r="AQ132" s="11" t="str">
        <f>_xlfn.IFNA(VLOOKUP(Table2[[#This Row],[tee time7]],'Turkey Shoot - groups'!$A$3:$F$20,4,FALSE),"")</f>
        <v/>
      </c>
      <c r="AR132" s="13" t="str">
        <f>_xlfn.IFNA(VLOOKUP(Table2[[#This Row],[tee time7]],'Turkey Shoot - groups'!$A$3:$F$20,5,FALSE),"")</f>
        <v/>
      </c>
      <c r="AS132" s="68" t="str">
        <f>IF(AND(Table2[[#This Row],[gap7]]="NA",Table2[[#This Row],[round7]]&lt;4/24),0,IFERROR((MAX(starting_interval,IF(Table2[[#This Row],[gap7]]="NA",Table2[[#This Row],[avg gap]],Table2[[#This Row],[gap7]]))-starting_interval)*Table2[[#This Row],[followers7]]/Table2[[#This Row],[group size7]],""))</f>
        <v/>
      </c>
      <c r="AT132" s="72">
        <f>COUNT(Table2[[#This Row],[Tee time1]],Table2[[#This Row],[tee time2]],Table2[[#This Row],[tee time3]],Table2[[#This Row],[tee time4]],Table2[[#This Row],[tee time5]],Table2[[#This Row],[tee time6]],Table2[[#This Row],[tee time7]])</f>
        <v>3</v>
      </c>
      <c r="AU132" s="4">
        <f>IFERROR(AVERAGE(Table2[[#This Row],[Tee time1]],Table2[[#This Row],[tee time2]],Table2[[#This Row],[tee time3]],Table2[[#This Row],[tee time4]],Table2[[#This Row],[tee time5]],Table2[[#This Row],[tee time6]],Table2[[#This Row],[tee time7]]),"")</f>
        <v>0.4106481481481481</v>
      </c>
      <c r="AV132" s="11">
        <f>IFERROR(MEDIAN(Table2[[#This Row],[round1]],Table2[[#This Row],[Round2]],Table2[[#This Row],[round3]],Table2[[#This Row],[round4]],Table2[[#This Row],[round5]],Table2[[#This Row],[round6]],Table2[[#This Row],[round7]]),"")</f>
        <v>0.17083333333333345</v>
      </c>
      <c r="AW132" s="11">
        <f>IFERROR(AVERAGE(Table2[[#This Row],[gap1]],Table2[[#This Row],[gap2]],Table2[[#This Row],[gap3]],Table2[[#This Row],[gap4]],Table2[[#This Row],[gap5]],Table2[[#This Row],[gap6]],Table2[[#This Row],[gap7]]),"")</f>
        <v>6.0185185185185341E-3</v>
      </c>
      <c r="AX132" s="9">
        <f>IFERROR((Table2[[#This Row],[avg gap]]-starting_interval)*24*60*Table2[[#This Row],[Count]],"NA")</f>
        <v>-3.9999999999999312</v>
      </c>
      <c r="AY13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32" s="2"/>
    </row>
    <row r="133" spans="1:52" x14ac:dyDescent="0.3">
      <c r="A133" s="10" t="s">
        <v>155</v>
      </c>
      <c r="B133" s="1" t="s">
        <v>396</v>
      </c>
      <c r="C133" s="19">
        <v>15.7</v>
      </c>
      <c r="D133" s="32" t="str">
        <f>_xlfn.IFNA(VLOOKUP(Table2[[#This Row],[Name]],'Classic day 1 - players'!$A$2:$B$64,2,FALSE),"")</f>
        <v/>
      </c>
      <c r="E133" s="33" t="str">
        <f>IF(Table2[[#This Row],[Tee time1]]&lt;&gt;"",COUNTIF('Classic day 1 - players'!$B$2:$B$64,"="&amp;Table2[[#This Row],[Tee time1]]),"")</f>
        <v/>
      </c>
      <c r="F133" s="33" t="str">
        <f>_xlfn.IFNA(VLOOKUP(Table2[[#This Row],[Tee time1]],'Classic day 1 - groups'!$A$3:$F$20,6,FALSE),"")</f>
        <v/>
      </c>
      <c r="G133" s="11" t="str">
        <f>_xlfn.IFNA(VLOOKUP(Table2[[#This Row],[Tee time1]],'Classic day 1 - groups'!$A$3:$F$20,4,FALSE),"")</f>
        <v/>
      </c>
      <c r="H133" s="12" t="str">
        <f>_xlfn.IFNA(VLOOKUP(Table2[[#This Row],[Tee time1]],'Classic day 1 - groups'!$A$3:$F$20,5,FALSE),"")</f>
        <v/>
      </c>
      <c r="I133" s="69" t="str">
        <f>IFERROR((MAX(starting_interval,IF(Table2[[#This Row],[gap1]]="NA",Table2[[#This Row],[avg gap]],Table2[[#This Row],[gap1]]))-starting_interval)*Table2[[#This Row],[followers1]]/Table2[[#This Row],[group size]],"")</f>
        <v/>
      </c>
      <c r="J133" s="32" t="str">
        <f>_xlfn.IFNA(VLOOKUP(Table2[[#This Row],[Name]],'Classic day 2 - players'!$A$2:$B$64,2,FALSE),"")</f>
        <v/>
      </c>
      <c r="K133" s="33" t="str">
        <f>IF(Table2[[#This Row],[tee time2]]&lt;&gt;"",COUNTIF('Classic day 2 - players'!$B$2:$B$64,"="&amp;Table2[[#This Row],[tee time2]]),"")</f>
        <v/>
      </c>
      <c r="L133" s="33" t="str">
        <f>_xlfn.IFNA(VLOOKUP(Table2[[#This Row],[tee time2]],'Classic day 2 - groups'!$A$3:$F$20,6,FALSE),"")</f>
        <v/>
      </c>
      <c r="M133" s="4" t="str">
        <f>_xlfn.IFNA(VLOOKUP(Table2[[#This Row],[tee time2]],'Classic day 2 - groups'!$A$3:$F$20,4,FALSE),"")</f>
        <v/>
      </c>
      <c r="N133" s="65" t="str">
        <f>_xlfn.IFNA(VLOOKUP(Table2[[#This Row],[tee time2]],'Classic day 2 - groups'!$A$3:$F$20,5,FALSE),"")</f>
        <v/>
      </c>
      <c r="O133" s="69" t="str">
        <f>IFERROR((MAX(starting_interval,IF(Table2[[#This Row],[gap2]]="NA",Table2[[#This Row],[avg gap]],Table2[[#This Row],[gap2]]))-starting_interval)*Table2[[#This Row],[followers2]]/Table2[[#This Row],[group size2]],"")</f>
        <v/>
      </c>
      <c r="P133" s="32">
        <f>_xlfn.IFNA(VLOOKUP(Table2[[#This Row],[Name]],'Summer FD - players'!$A$2:$B$65,2,FALSE),"")</f>
        <v>0.41250000000000003</v>
      </c>
      <c r="Q133" s="59">
        <f>IF(Table2[[#This Row],[tee time3]]&lt;&gt;"",COUNTIF('Summer FD - players'!$B$2:$B$65,"="&amp;Table2[[#This Row],[tee time3]]),"")</f>
        <v>4</v>
      </c>
      <c r="R133" s="59">
        <f>_xlfn.IFNA(VLOOKUP(Table2[[#This Row],[tee time3]],'Summer FD - groups'!$A$3:$F$20,6,FALSE),"")</f>
        <v>16</v>
      </c>
      <c r="S133" s="4">
        <f>_xlfn.IFNA(VLOOKUP(Table2[[#This Row],[tee time3]],'Summer FD - groups'!$A$3:$F$20,4,FALSE),"")</f>
        <v>0.19583333333333341</v>
      </c>
      <c r="T133" s="13">
        <f>_xlfn.IFNA(VLOOKUP(Table2[[#This Row],[tee time3]],'Summer FD - groups'!$A$3:$F$20,5,FALSE),"")</f>
        <v>4.1666666666667629E-3</v>
      </c>
      <c r="U133" s="69">
        <f>IF(Table2[[#This Row],[avg gap]]&lt;&gt;"",IFERROR((MAX(starting_interval,IF(Table2[[#This Row],[gap3]]="NA",Table2[[#This Row],[avg gap]],Table2[[#This Row],[gap3]]))-starting_interval)*Table2[[#This Row],[followers3]]/Table2[[#This Row],[group size3]],""),"")</f>
        <v>0</v>
      </c>
      <c r="V133" s="32" t="str">
        <f>_xlfn.IFNA(VLOOKUP(Table2[[#This Row],[Name]],'6-6-6 - players'!$A$2:$B$69,2,FALSE),"")</f>
        <v/>
      </c>
      <c r="W133" s="59" t="str">
        <f>IF(Table2[[#This Row],[tee time4]]&lt;&gt;"",COUNTIF('6-6-6 - players'!$B$2:$B$69,"="&amp;Table2[[#This Row],[tee time4]]),"")</f>
        <v/>
      </c>
      <c r="X133" s="59" t="str">
        <f>_xlfn.IFNA(VLOOKUP(Table2[[#This Row],[tee time4]],'6-6-6 - groups'!$A$3:$F$20,6,FALSE),"")</f>
        <v/>
      </c>
      <c r="Y133" s="4" t="str">
        <f>_xlfn.IFNA(VLOOKUP(Table2[[#This Row],[tee time4]],'6-6-6 - groups'!$A$3:$F$20,4,FALSE),"")</f>
        <v/>
      </c>
      <c r="Z133" s="13" t="str">
        <f>_xlfn.IFNA(VLOOKUP(Table2[[#This Row],[tee time4]],'6-6-6 - groups'!$A$3:$F$20,5,FALSE),"")</f>
        <v/>
      </c>
      <c r="AA133" s="69" t="str">
        <f>IF(Table2[[#This Row],[avg gap]]&lt;&gt;"",IFERROR((MAX(starting_interval,IF(Table2[[#This Row],[gap4]]="NA",Table2[[#This Row],[avg gap]],Table2[[#This Row],[gap4]]))-starting_interval)*Table2[[#This Row],[followers4]]/Table2[[#This Row],[group size4]],""),"")</f>
        <v/>
      </c>
      <c r="AB133" s="32">
        <f>_xlfn.IFNA(VLOOKUP(Table2[[#This Row],[Name]],'Fall FD - players'!$A$2:$B$65,2,FALSE),"")</f>
        <v>0.44861111111111113</v>
      </c>
      <c r="AC133" s="59">
        <f>IF(Table2[[#This Row],[tee time5]]&lt;&gt;"",COUNTIF('Fall FD - players'!$B$2:$B$65,"="&amp;Table2[[#This Row],[tee time5]]),"")</f>
        <v>3</v>
      </c>
      <c r="AD133" s="59">
        <f>_xlfn.IFNA(VLOOKUP(Table2[[#This Row],[tee time5]],'Fall FD - groups'!$A$3:$F$20,6,FALSE),"")</f>
        <v>4</v>
      </c>
      <c r="AE133" s="4">
        <f>_xlfn.IFNA(VLOOKUP(Table2[[#This Row],[tee time5]],'Fall FD - groups'!$A$3:$F$20,4,FALSE),"")</f>
        <v>0.17499999999999999</v>
      </c>
      <c r="AF133" s="13">
        <f>IFERROR(MIN(_xlfn.IFNA(VLOOKUP(Table2[[#This Row],[tee time5]],'Fall FD - groups'!$A$3:$F$20,5,FALSE),""),starting_interval + Table2[[#This Row],[round5]] - standard_round_time),"")</f>
        <v>6.2499999999999778E-3</v>
      </c>
      <c r="AG133" s="69">
        <f>IF(AND(Table2[[#This Row],[gap5]]="NA",Table2[[#This Row],[round5]]&lt;4/24),0,IFERROR((MAX(starting_interval,IF(Table2[[#This Row],[gap5]]="NA",Table2[[#This Row],[avg gap]],Table2[[#This Row],[gap5]]))-starting_interval)*Table2[[#This Row],[followers5]]/Table2[[#This Row],[group size5]],""))</f>
        <v>0</v>
      </c>
      <c r="AH133" s="32" t="str">
        <f>_xlfn.IFNA(VLOOKUP(Table2[[#This Row],[Name]],'Stableford - players'!$A$2:$B$65,2,FALSE),"")</f>
        <v/>
      </c>
      <c r="AI133" s="59" t="str">
        <f>IF(Table2[[#This Row],[tee time6]]&lt;&gt;"",COUNTIF('Stableford - players'!$B$2:$B$65,"="&amp;Table2[[#This Row],[tee time6]]),"")</f>
        <v/>
      </c>
      <c r="AJ133" s="59" t="str">
        <f>_xlfn.IFNA(VLOOKUP(Table2[[#This Row],[tee time6]],'Stableford - groups'!$A$3:$F$20,6,FALSE),"")</f>
        <v/>
      </c>
      <c r="AK133" s="11" t="str">
        <f>_xlfn.IFNA(VLOOKUP(Table2[[#This Row],[tee time6]],'Stableford - groups'!$A$3:$F$20,4,FALSE),"")</f>
        <v/>
      </c>
      <c r="AL133" s="13" t="str">
        <f>_xlfn.IFNA(VLOOKUP(Table2[[#This Row],[tee time6]],'Stableford - groups'!$A$3:$F$20,5,FALSE),"")</f>
        <v/>
      </c>
      <c r="AM133" s="68" t="str">
        <f>IF(AND(Table2[[#This Row],[gap6]]="NA",Table2[[#This Row],[round6]]&lt;4/24),0,IFERROR((MAX(starting_interval,IF(Table2[[#This Row],[gap6]]="NA",Table2[[#This Row],[avg gap]],Table2[[#This Row],[gap6]]))-starting_interval)*Table2[[#This Row],[followers6]]/Table2[[#This Row],[group size6]],""))</f>
        <v/>
      </c>
      <c r="AN133" s="32" t="str">
        <f>_xlfn.IFNA(VLOOKUP(Table2[[#This Row],[Name]],'Turkey Shoot - players'!$A$2:$B$65,2,FALSE),"")</f>
        <v/>
      </c>
      <c r="AO133" s="59" t="str">
        <f>IF(Table2[[#This Row],[tee time7]]&lt;&gt;"",COUNTIF('Turkey Shoot - players'!$B$2:$B$65,"="&amp;Table2[[#This Row],[tee time7]]),"")</f>
        <v/>
      </c>
      <c r="AP133" s="59" t="str">
        <f>_xlfn.IFNA(VLOOKUP(Table2[[#This Row],[tee time7]],'Stableford - groups'!$A$3:$F$20,6,FALSE),"")</f>
        <v/>
      </c>
      <c r="AQ133" s="11" t="str">
        <f>_xlfn.IFNA(VLOOKUP(Table2[[#This Row],[tee time7]],'Turkey Shoot - groups'!$A$3:$F$20,4,FALSE),"")</f>
        <v/>
      </c>
      <c r="AR133" s="13" t="str">
        <f>_xlfn.IFNA(VLOOKUP(Table2[[#This Row],[tee time7]],'Turkey Shoot - groups'!$A$3:$F$20,5,FALSE),"")</f>
        <v/>
      </c>
      <c r="AS133" s="68" t="str">
        <f>IF(AND(Table2[[#This Row],[gap7]]="NA",Table2[[#This Row],[round7]]&lt;4/24),0,IFERROR((MAX(starting_interval,IF(Table2[[#This Row],[gap7]]="NA",Table2[[#This Row],[avg gap]],Table2[[#This Row],[gap7]]))-starting_interval)*Table2[[#This Row],[followers7]]/Table2[[#This Row],[group size7]],""))</f>
        <v/>
      </c>
      <c r="AT133" s="72">
        <f>COUNT(Table2[[#This Row],[Tee time1]],Table2[[#This Row],[tee time2]],Table2[[#This Row],[tee time3]],Table2[[#This Row],[tee time4]],Table2[[#This Row],[tee time5]],Table2[[#This Row],[tee time6]],Table2[[#This Row],[tee time7]])</f>
        <v>2</v>
      </c>
      <c r="AU133" s="4">
        <f>IFERROR(AVERAGE(Table2[[#This Row],[Tee time1]],Table2[[#This Row],[tee time2]],Table2[[#This Row],[tee time3]],Table2[[#This Row],[tee time4]],Table2[[#This Row],[tee time5]],Table2[[#This Row],[tee time6]],Table2[[#This Row],[tee time7]]),"")</f>
        <v>0.43055555555555558</v>
      </c>
      <c r="AV133" s="11">
        <f>IFERROR(MEDIAN(Table2[[#This Row],[round1]],Table2[[#This Row],[Round2]],Table2[[#This Row],[round3]],Table2[[#This Row],[round4]],Table2[[#This Row],[round5]],Table2[[#This Row],[round6]],Table2[[#This Row],[round7]]),"")</f>
        <v>0.1854166666666667</v>
      </c>
      <c r="AW133" s="11">
        <f>IFERROR(AVERAGE(Table2[[#This Row],[gap1]],Table2[[#This Row],[gap2]],Table2[[#This Row],[gap3]],Table2[[#This Row],[gap4]],Table2[[#This Row],[gap5]],Table2[[#This Row],[gap6]],Table2[[#This Row],[gap7]]),"")</f>
        <v>5.2083333333333703E-3</v>
      </c>
      <c r="AX133" s="9">
        <f>IFERROR((Table2[[#This Row],[avg gap]]-starting_interval)*24*60*Table2[[#This Row],[Count]],"NA")</f>
        <v>-4.9999999999998925</v>
      </c>
      <c r="AY133"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33" s="2"/>
    </row>
    <row r="134" spans="1:52" hidden="1" x14ac:dyDescent="0.3">
      <c r="A134" s="10" t="s">
        <v>0</v>
      </c>
      <c r="B134" s="1" t="s">
        <v>238</v>
      </c>
      <c r="C134" s="19">
        <v>18.399999999999999</v>
      </c>
      <c r="D134" s="32" t="str">
        <f>_xlfn.IFNA(VLOOKUP(Table2[[#This Row],[Name]],'Classic day 1 - players'!$A$2:$B$64,2,FALSE),"")</f>
        <v/>
      </c>
      <c r="E134" s="33" t="str">
        <f>IF(Table2[[#This Row],[Tee time1]]&lt;&gt;"",COUNTIF('Classic day 1 - players'!$B$2:$B$64,"="&amp;Table2[[#This Row],[Tee time1]]),"")</f>
        <v/>
      </c>
      <c r="F134" s="4" t="str">
        <f>_xlfn.IFNA(VLOOKUP(Table2[[#This Row],[Tee time1]],'Classic day 1 - groups'!$A$3:$F$20,6,FALSE),"")</f>
        <v/>
      </c>
      <c r="G134" s="11" t="str">
        <f>_xlfn.IFNA(VLOOKUP(Table2[[#This Row],[Tee time1]],'Classic day 1 - groups'!$A$3:$F$20,4,FALSE),"")</f>
        <v/>
      </c>
      <c r="H134" s="12" t="str">
        <f>_xlfn.IFNA(VLOOKUP(Table2[[#This Row],[Tee time1]],'Classic day 1 - groups'!$A$3:$F$20,5,FALSE),"")</f>
        <v/>
      </c>
      <c r="I134" s="69" t="str">
        <f>IFERROR((MAX(starting_interval,IF(Table2[[#This Row],[gap1]]="NA",Table2[[#This Row],[avg gap]],Table2[[#This Row],[gap1]]))-starting_interval)*Table2[[#This Row],[followers1]]/Table2[[#This Row],[group size]],"")</f>
        <v/>
      </c>
      <c r="J134" s="32" t="str">
        <f>_xlfn.IFNA(VLOOKUP(Table2[[#This Row],[Name]],'Classic day 2 - players'!$A$2:$B$64,2,FALSE),"")</f>
        <v/>
      </c>
      <c r="K134" s="4" t="str">
        <f>IF(Table2[[#This Row],[tee time2]]&lt;&gt;"",COUNTIF('Classic day 2 - players'!$B$2:$B$64,"="&amp;Table2[[#This Row],[tee time2]]),"")</f>
        <v/>
      </c>
      <c r="L134" s="4" t="str">
        <f>_xlfn.IFNA(VLOOKUP(Table2[[#This Row],[tee time2]],'Classic day 2 - groups'!$A$3:$F$20,6,FALSE),"")</f>
        <v/>
      </c>
      <c r="M134" s="4" t="str">
        <f>_xlfn.IFNA(VLOOKUP(Table2[[#This Row],[tee time2]],'Classic day 2 - groups'!$A$3:$F$20,4,FALSE),"")</f>
        <v/>
      </c>
      <c r="N134" s="13" t="str">
        <f>_xlfn.IFNA(VLOOKUP(Table2[[#This Row],[tee time2]],'Classic day 2 - groups'!$A$3:$F$20,5,FALSE),"")</f>
        <v/>
      </c>
      <c r="O134" s="69" t="str">
        <f>IFERROR((MAX(starting_interval,IF(Table2[[#This Row],[gap2]]="NA",Table2[[#This Row],[avg gap]],Table2[[#This Row],[gap2]]))-starting_interval)*Table2[[#This Row],[followers2]]/Table2[[#This Row],[group size2]],"")</f>
        <v/>
      </c>
      <c r="P134" s="32" t="str">
        <f>_xlfn.IFNA(VLOOKUP(Table2[[#This Row],[Name]],'Summer FD - players'!$A$2:$B$65,2,FALSE),"")</f>
        <v/>
      </c>
      <c r="Q134" s="59" t="str">
        <f>IF(Table2[[#This Row],[tee time3]]&lt;&gt;"",COUNTIF('Summer FD - players'!$B$2:$B$65,"="&amp;Table2[[#This Row],[tee time3]]),"")</f>
        <v/>
      </c>
      <c r="R134" s="59" t="str">
        <f>_xlfn.IFNA(VLOOKUP(Table2[[#This Row],[tee time3]],'Summer FD - groups'!$A$3:$F$20,6,FALSE),"")</f>
        <v/>
      </c>
      <c r="S134" s="4" t="str">
        <f>_xlfn.IFNA(VLOOKUP(Table2[[#This Row],[tee time3]],'Summer FD - groups'!$A$3:$F$20,4,FALSE),"")</f>
        <v/>
      </c>
      <c r="T134" s="13" t="str">
        <f>_xlfn.IFNA(VLOOKUP(Table2[[#This Row],[tee time3]],'Summer FD - groups'!$A$3:$F$20,5,FALSE),"")</f>
        <v/>
      </c>
      <c r="U134" s="69" t="str">
        <f>IF(Table2[[#This Row],[avg gap]]&lt;&gt;"",IFERROR((MAX(starting_interval,IF(Table2[[#This Row],[gap3]]="NA",Table2[[#This Row],[avg gap]],Table2[[#This Row],[gap3]]))-starting_interval)*Table2[[#This Row],[followers3]]/Table2[[#This Row],[group size3]],""),"")</f>
        <v/>
      </c>
      <c r="V134" s="32" t="str">
        <f>_xlfn.IFNA(VLOOKUP(Table2[[#This Row],[Name]],'6-6-6 - players'!$A$2:$B$69,2,FALSE),"")</f>
        <v/>
      </c>
      <c r="W134" s="59" t="str">
        <f>IF(Table2[[#This Row],[tee time4]]&lt;&gt;"",COUNTIF('6-6-6 - players'!$B$2:$B$69,"="&amp;Table2[[#This Row],[tee time4]]),"")</f>
        <v/>
      </c>
      <c r="X134" s="59" t="str">
        <f>_xlfn.IFNA(VLOOKUP(Table2[[#This Row],[tee time4]],'6-6-6 - groups'!$A$3:$F$20,6,FALSE),"")</f>
        <v/>
      </c>
      <c r="Y134" s="4" t="str">
        <f>_xlfn.IFNA(VLOOKUP(Table2[[#This Row],[tee time4]],'6-6-6 - groups'!$A$3:$F$20,4,FALSE),"")</f>
        <v/>
      </c>
      <c r="Z134" s="13" t="str">
        <f>_xlfn.IFNA(VLOOKUP(Table2[[#This Row],[tee time4]],'6-6-6 - groups'!$A$3:$F$20,5,FALSE),"")</f>
        <v/>
      </c>
      <c r="AA134" s="69" t="str">
        <f>IF(Table2[[#This Row],[avg gap]]&lt;&gt;"",IFERROR((MAX(starting_interval,IF(Table2[[#This Row],[gap4]]="NA",Table2[[#This Row],[avg gap]],Table2[[#This Row],[gap4]]))-starting_interval)*Table2[[#This Row],[followers4]]/Table2[[#This Row],[group size4]],""),"")</f>
        <v/>
      </c>
      <c r="AB134" s="32" t="str">
        <f>_xlfn.IFNA(VLOOKUP(Table2[[#This Row],[Name]],'Fall FD - players'!$A$2:$B$65,2,FALSE),"")</f>
        <v/>
      </c>
      <c r="AC134" s="59" t="str">
        <f>IF(Table2[[#This Row],[tee time5]]&lt;&gt;"",COUNTIF('Fall FD - players'!$B$2:$B$65,"="&amp;Table2[[#This Row],[tee time5]]),"")</f>
        <v/>
      </c>
      <c r="AD134" s="59" t="str">
        <f>_xlfn.IFNA(VLOOKUP(Table2[[#This Row],[tee time5]],'Fall FD - groups'!$A$3:$F$20,6,FALSE),"")</f>
        <v/>
      </c>
      <c r="AE134" s="4" t="str">
        <f>_xlfn.IFNA(VLOOKUP(Table2[[#This Row],[tee time5]],'Fall FD - groups'!$A$3:$F$20,4,FALSE),"")</f>
        <v/>
      </c>
      <c r="AF134" s="13" t="str">
        <f>IFERROR(MIN(_xlfn.IFNA(VLOOKUP(Table2[[#This Row],[tee time5]],'Fall FD - groups'!$A$3:$F$20,5,FALSE),""),starting_interval + Table2[[#This Row],[round5]] - standard_round_time),"")</f>
        <v/>
      </c>
      <c r="AG134" s="69" t="str">
        <f>IF(AND(Table2[[#This Row],[gap5]]="NA",Table2[[#This Row],[round5]]&lt;4/24),0,IFERROR((MAX(starting_interval,IF(Table2[[#This Row],[gap5]]="NA",Table2[[#This Row],[avg gap]],Table2[[#This Row],[gap5]]))-starting_interval)*Table2[[#This Row],[followers5]]/Table2[[#This Row],[group size5]],""))</f>
        <v/>
      </c>
      <c r="AH134" s="32" t="str">
        <f>_xlfn.IFNA(VLOOKUP(Table2[[#This Row],[Name]],'Stableford - players'!$A$2:$B$65,2,FALSE),"")</f>
        <v/>
      </c>
      <c r="AI134" s="59" t="str">
        <f>IF(Table2[[#This Row],[tee time6]]&lt;&gt;"",COUNTIF('Stableford - players'!$B$2:$B$65,"="&amp;Table2[[#This Row],[tee time6]]),"")</f>
        <v/>
      </c>
      <c r="AJ134" s="59" t="str">
        <f>_xlfn.IFNA(VLOOKUP(Table2[[#This Row],[tee time6]],'Stableford - groups'!$A$3:$F$20,6,FALSE),"")</f>
        <v/>
      </c>
      <c r="AK134" s="11" t="str">
        <f>_xlfn.IFNA(VLOOKUP(Table2[[#This Row],[tee time6]],'Stableford - groups'!$A$3:$F$20,4,FALSE),"")</f>
        <v/>
      </c>
      <c r="AL134" s="13" t="str">
        <f>_xlfn.IFNA(VLOOKUP(Table2[[#This Row],[tee time6]],'Stableford - groups'!$A$3:$F$20,5,FALSE),"")</f>
        <v/>
      </c>
      <c r="AM134" s="68" t="str">
        <f>IF(AND(Table2[[#This Row],[gap6]]="NA",Table2[[#This Row],[round6]]&lt;4/24),0,IFERROR((MAX(starting_interval,IF(Table2[[#This Row],[gap6]]="NA",Table2[[#This Row],[avg gap]],Table2[[#This Row],[gap6]]))-starting_interval)*Table2[[#This Row],[followers6]]/Table2[[#This Row],[group size6]],""))</f>
        <v/>
      </c>
      <c r="AN134" s="32" t="str">
        <f>_xlfn.IFNA(VLOOKUP(Table2[[#This Row],[Name]],'Turkey Shoot - players'!$A$2:$B$65,2,FALSE),"")</f>
        <v/>
      </c>
      <c r="AO134" s="59" t="str">
        <f>IF(Table2[[#This Row],[tee time7]]&lt;&gt;"",COUNTIF('Turkey Shoot - players'!$B$2:$B$65,"="&amp;Table2[[#This Row],[tee time7]]),"")</f>
        <v/>
      </c>
      <c r="AP134" s="59" t="str">
        <f>_xlfn.IFNA(VLOOKUP(Table2[[#This Row],[tee time7]],'Stableford - groups'!$A$3:$F$20,6,FALSE),"")</f>
        <v/>
      </c>
      <c r="AQ134" s="11" t="str">
        <f>_xlfn.IFNA(VLOOKUP(Table2[[#This Row],[tee time7]],'Turkey Shoot - groups'!$A$3:$F$20,4,FALSE),"")</f>
        <v/>
      </c>
      <c r="AR134" s="13" t="str">
        <f>_xlfn.IFNA(VLOOKUP(Table2[[#This Row],[tee time7]],'Turkey Shoot - groups'!$A$3:$F$20,5,FALSE),"")</f>
        <v/>
      </c>
      <c r="AS134" s="68" t="str">
        <f>IF(AND(Table2[[#This Row],[gap7]]="NA",Table2[[#This Row],[round7]]&lt;4/24),0,IFERROR((MAX(starting_interval,IF(Table2[[#This Row],[gap7]]="NA",Table2[[#This Row],[avg gap]],Table2[[#This Row],[gap7]]))-starting_interval)*Table2[[#This Row],[followers7]]/Table2[[#This Row],[group size7]],""))</f>
        <v/>
      </c>
      <c r="AT134" s="72">
        <f>COUNT(Table2[[#This Row],[Tee time1]],Table2[[#This Row],[tee time2]],Table2[[#This Row],[tee time3]],Table2[[#This Row],[tee time4]],Table2[[#This Row],[tee time5]],Table2[[#This Row],[tee time6]],Table2[[#This Row],[tee time7]])</f>
        <v>0</v>
      </c>
      <c r="AU134" s="4" t="str">
        <f>IFERROR(AVERAGE(Table2[[#This Row],[Tee time1]],Table2[[#This Row],[tee time2]],Table2[[#This Row],[tee time3]],Table2[[#This Row],[tee time4]],Table2[[#This Row],[tee time5]],Table2[[#This Row],[tee time6]],Table2[[#This Row],[tee time7]]),"")</f>
        <v/>
      </c>
      <c r="AV134" s="11" t="str">
        <f>IFERROR(MEDIAN(Table2[[#This Row],[round1]],Table2[[#This Row],[Round2]],Table2[[#This Row],[round3]],Table2[[#This Row],[round4]],Table2[[#This Row],[round5]],Table2[[#This Row],[round6]],Table2[[#This Row],[round7]]),"")</f>
        <v/>
      </c>
      <c r="AW134" s="11" t="str">
        <f>IFERROR(AVERAGE(Table2[[#This Row],[gap1]],Table2[[#This Row],[gap2]],Table2[[#This Row],[gap3]],Table2[[#This Row],[gap4]],Table2[[#This Row],[gap5]],Table2[[#This Row],[gap6]],Table2[[#This Row],[gap7]]),"")</f>
        <v/>
      </c>
      <c r="AX134" s="9" t="str">
        <f>IFERROR((Table2[[#This Row],[avg gap]]-starting_interval)*24*60*Table2[[#This Row],[Count]],"NA")</f>
        <v>NA</v>
      </c>
      <c r="AY134"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34" s="2"/>
    </row>
    <row r="135" spans="1:52" hidden="1" x14ac:dyDescent="0.3">
      <c r="A135" s="10" t="s">
        <v>1</v>
      </c>
      <c r="B135" s="1" t="s">
        <v>239</v>
      </c>
      <c r="C135" s="19">
        <v>16.399999999999999</v>
      </c>
      <c r="D135" s="32" t="str">
        <f>_xlfn.IFNA(VLOOKUP(Table2[[#This Row],[Name]],'Classic day 1 - players'!$A$2:$B$64,2,FALSE),"")</f>
        <v/>
      </c>
      <c r="E135" s="33" t="str">
        <f>IF(Table2[[#This Row],[Tee time1]]&lt;&gt;"",COUNTIF('Classic day 1 - players'!$B$2:$B$64,"="&amp;Table2[[#This Row],[Tee time1]]),"")</f>
        <v/>
      </c>
      <c r="F135" s="4" t="str">
        <f>_xlfn.IFNA(VLOOKUP(Table2[[#This Row],[Tee time1]],'Classic day 1 - groups'!$A$3:$F$20,6,FALSE),"")</f>
        <v/>
      </c>
      <c r="G135" s="11" t="str">
        <f>_xlfn.IFNA(VLOOKUP(Table2[[#This Row],[Tee time1]],'Classic day 1 - groups'!$A$3:$F$20,4,FALSE),"")</f>
        <v/>
      </c>
      <c r="H135" s="12" t="str">
        <f>_xlfn.IFNA(VLOOKUP(Table2[[#This Row],[Tee time1]],'Classic day 1 - groups'!$A$3:$F$20,5,FALSE),"")</f>
        <v/>
      </c>
      <c r="I135" s="69" t="str">
        <f>IFERROR((MAX(starting_interval,IF(Table2[[#This Row],[gap1]]="NA",Table2[[#This Row],[avg gap]],Table2[[#This Row],[gap1]]))-starting_interval)*Table2[[#This Row],[followers1]]/Table2[[#This Row],[group size]],"")</f>
        <v/>
      </c>
      <c r="J135" s="32" t="str">
        <f>_xlfn.IFNA(VLOOKUP(Table2[[#This Row],[Name]],'Classic day 2 - players'!$A$2:$B$64,2,FALSE),"")</f>
        <v/>
      </c>
      <c r="K135" s="4" t="str">
        <f>IF(Table2[[#This Row],[tee time2]]&lt;&gt;"",COUNTIF('Classic day 2 - players'!$B$2:$B$64,"="&amp;Table2[[#This Row],[tee time2]]),"")</f>
        <v/>
      </c>
      <c r="L135" s="4" t="str">
        <f>_xlfn.IFNA(VLOOKUP(Table2[[#This Row],[tee time2]],'Classic day 2 - groups'!$A$3:$F$20,6,FALSE),"")</f>
        <v/>
      </c>
      <c r="M135" s="4" t="str">
        <f>_xlfn.IFNA(VLOOKUP(Table2[[#This Row],[tee time2]],'Classic day 2 - groups'!$A$3:$F$20,4,FALSE),"")</f>
        <v/>
      </c>
      <c r="N135" s="65" t="str">
        <f>_xlfn.IFNA(VLOOKUP(Table2[[#This Row],[tee time2]],'Classic day 2 - groups'!$A$3:$F$20,5,FALSE),"")</f>
        <v/>
      </c>
      <c r="O135" s="69" t="str">
        <f>IFERROR((MAX(starting_interval,IF(Table2[[#This Row],[gap2]]="NA",Table2[[#This Row],[avg gap]],Table2[[#This Row],[gap2]]))-starting_interval)*Table2[[#This Row],[followers2]]/Table2[[#This Row],[group size2]],"")</f>
        <v/>
      </c>
      <c r="P135" s="32" t="str">
        <f>_xlfn.IFNA(VLOOKUP(Table2[[#This Row],[Name]],'Summer FD - players'!$A$2:$B$65,2,FALSE),"")</f>
        <v/>
      </c>
      <c r="Q135" s="59" t="str">
        <f>IF(Table2[[#This Row],[tee time3]]&lt;&gt;"",COUNTIF('Summer FD - players'!$B$2:$B$65,"="&amp;Table2[[#This Row],[tee time3]]),"")</f>
        <v/>
      </c>
      <c r="R135" s="59" t="str">
        <f>_xlfn.IFNA(VLOOKUP(Table2[[#This Row],[tee time3]],'Summer FD - groups'!$A$3:$F$20,6,FALSE),"")</f>
        <v/>
      </c>
      <c r="S135" s="4" t="str">
        <f>_xlfn.IFNA(VLOOKUP(Table2[[#This Row],[tee time3]],'Summer FD - groups'!$A$3:$F$20,4,FALSE),"")</f>
        <v/>
      </c>
      <c r="T135" s="13" t="str">
        <f>_xlfn.IFNA(VLOOKUP(Table2[[#This Row],[tee time3]],'Summer FD - groups'!$A$3:$F$20,5,FALSE),"")</f>
        <v/>
      </c>
      <c r="U135" s="69" t="str">
        <f>IF(Table2[[#This Row],[avg gap]]&lt;&gt;"",IFERROR((MAX(starting_interval,IF(Table2[[#This Row],[gap3]]="NA",Table2[[#This Row],[avg gap]],Table2[[#This Row],[gap3]]))-starting_interval)*Table2[[#This Row],[followers3]]/Table2[[#This Row],[group size3]],""),"")</f>
        <v/>
      </c>
      <c r="V135" s="32" t="str">
        <f>_xlfn.IFNA(VLOOKUP(Table2[[#This Row],[Name]],'6-6-6 - players'!$A$2:$B$69,2,FALSE),"")</f>
        <v/>
      </c>
      <c r="W135" s="59" t="str">
        <f>IF(Table2[[#This Row],[tee time4]]&lt;&gt;"",COUNTIF('6-6-6 - players'!$B$2:$B$69,"="&amp;Table2[[#This Row],[tee time4]]),"")</f>
        <v/>
      </c>
      <c r="X135" s="59" t="str">
        <f>_xlfn.IFNA(VLOOKUP(Table2[[#This Row],[tee time4]],'6-6-6 - groups'!$A$3:$F$20,6,FALSE),"")</f>
        <v/>
      </c>
      <c r="Y135" s="4" t="str">
        <f>_xlfn.IFNA(VLOOKUP(Table2[[#This Row],[tee time4]],'6-6-6 - groups'!$A$3:$F$20,4,FALSE),"")</f>
        <v/>
      </c>
      <c r="Z135" s="13" t="str">
        <f>_xlfn.IFNA(VLOOKUP(Table2[[#This Row],[tee time4]],'6-6-6 - groups'!$A$3:$F$20,5,FALSE),"")</f>
        <v/>
      </c>
      <c r="AA135" s="69" t="str">
        <f>IF(Table2[[#This Row],[avg gap]]&lt;&gt;"",IFERROR((MAX(starting_interval,IF(Table2[[#This Row],[gap4]]="NA",Table2[[#This Row],[avg gap]],Table2[[#This Row],[gap4]]))-starting_interval)*Table2[[#This Row],[followers4]]/Table2[[#This Row],[group size4]],""),"")</f>
        <v/>
      </c>
      <c r="AB135" s="32" t="str">
        <f>_xlfn.IFNA(VLOOKUP(Table2[[#This Row],[Name]],'Fall FD - players'!$A$2:$B$65,2,FALSE),"")</f>
        <v/>
      </c>
      <c r="AC135" s="59" t="str">
        <f>IF(Table2[[#This Row],[tee time5]]&lt;&gt;"",COUNTIF('Fall FD - players'!$B$2:$B$65,"="&amp;Table2[[#This Row],[tee time5]]),"")</f>
        <v/>
      </c>
      <c r="AD135" s="59" t="str">
        <f>_xlfn.IFNA(VLOOKUP(Table2[[#This Row],[tee time5]],'Fall FD - groups'!$A$3:$F$20,6,FALSE),"")</f>
        <v/>
      </c>
      <c r="AE135" s="4" t="str">
        <f>_xlfn.IFNA(VLOOKUP(Table2[[#This Row],[tee time5]],'Fall FD - groups'!$A$3:$F$20,4,FALSE),"")</f>
        <v/>
      </c>
      <c r="AF135" s="13" t="str">
        <f>IFERROR(MIN(_xlfn.IFNA(VLOOKUP(Table2[[#This Row],[tee time5]],'Fall FD - groups'!$A$3:$F$20,5,FALSE),""),starting_interval + Table2[[#This Row],[round5]] - standard_round_time),"")</f>
        <v/>
      </c>
      <c r="AG135" s="69" t="str">
        <f>IF(AND(Table2[[#This Row],[gap5]]="NA",Table2[[#This Row],[round5]]&lt;4/24),0,IFERROR((MAX(starting_interval,IF(Table2[[#This Row],[gap5]]="NA",Table2[[#This Row],[avg gap]],Table2[[#This Row],[gap5]]))-starting_interval)*Table2[[#This Row],[followers5]]/Table2[[#This Row],[group size5]],""))</f>
        <v/>
      </c>
      <c r="AH135" s="32" t="str">
        <f>_xlfn.IFNA(VLOOKUP(Table2[[#This Row],[Name]],'Stableford - players'!$A$2:$B$65,2,FALSE),"")</f>
        <v/>
      </c>
      <c r="AI135" s="59" t="str">
        <f>IF(Table2[[#This Row],[tee time6]]&lt;&gt;"",COUNTIF('Stableford - players'!$B$2:$B$65,"="&amp;Table2[[#This Row],[tee time6]]),"")</f>
        <v/>
      </c>
      <c r="AJ135" s="59" t="str">
        <f>_xlfn.IFNA(VLOOKUP(Table2[[#This Row],[tee time6]],'Stableford - groups'!$A$3:$F$20,6,FALSE),"")</f>
        <v/>
      </c>
      <c r="AK135" s="11" t="str">
        <f>_xlfn.IFNA(VLOOKUP(Table2[[#This Row],[tee time6]],'Stableford - groups'!$A$3:$F$20,4,FALSE),"")</f>
        <v/>
      </c>
      <c r="AL135" s="13" t="str">
        <f>_xlfn.IFNA(VLOOKUP(Table2[[#This Row],[tee time6]],'Stableford - groups'!$A$3:$F$20,5,FALSE),"")</f>
        <v/>
      </c>
      <c r="AM135" s="68" t="str">
        <f>IF(AND(Table2[[#This Row],[gap6]]="NA",Table2[[#This Row],[round6]]&lt;4/24),0,IFERROR((MAX(starting_interval,IF(Table2[[#This Row],[gap6]]="NA",Table2[[#This Row],[avg gap]],Table2[[#This Row],[gap6]]))-starting_interval)*Table2[[#This Row],[followers6]]/Table2[[#This Row],[group size6]],""))</f>
        <v/>
      </c>
      <c r="AN135" s="32" t="str">
        <f>_xlfn.IFNA(VLOOKUP(Table2[[#This Row],[Name]],'Turkey Shoot - players'!$A$2:$B$65,2,FALSE),"")</f>
        <v/>
      </c>
      <c r="AO135" s="59" t="str">
        <f>IF(Table2[[#This Row],[tee time7]]&lt;&gt;"",COUNTIF('Turkey Shoot - players'!$B$2:$B$65,"="&amp;Table2[[#This Row],[tee time7]]),"")</f>
        <v/>
      </c>
      <c r="AP135" s="59" t="str">
        <f>_xlfn.IFNA(VLOOKUP(Table2[[#This Row],[tee time7]],'Stableford - groups'!$A$3:$F$20,6,FALSE),"")</f>
        <v/>
      </c>
      <c r="AQ135" s="11" t="str">
        <f>_xlfn.IFNA(VLOOKUP(Table2[[#This Row],[tee time7]],'Turkey Shoot - groups'!$A$3:$F$20,4,FALSE),"")</f>
        <v/>
      </c>
      <c r="AR135" s="13" t="str">
        <f>_xlfn.IFNA(VLOOKUP(Table2[[#This Row],[tee time7]],'Turkey Shoot - groups'!$A$3:$F$20,5,FALSE),"")</f>
        <v/>
      </c>
      <c r="AS135" s="68" t="str">
        <f>IF(AND(Table2[[#This Row],[gap7]]="NA",Table2[[#This Row],[round7]]&lt;4/24),0,IFERROR((MAX(starting_interval,IF(Table2[[#This Row],[gap7]]="NA",Table2[[#This Row],[avg gap]],Table2[[#This Row],[gap7]]))-starting_interval)*Table2[[#This Row],[followers7]]/Table2[[#This Row],[group size7]],""))</f>
        <v/>
      </c>
      <c r="AT135" s="72">
        <f>COUNT(Table2[[#This Row],[Tee time1]],Table2[[#This Row],[tee time2]],Table2[[#This Row],[tee time3]],Table2[[#This Row],[tee time4]],Table2[[#This Row],[tee time5]],Table2[[#This Row],[tee time6]],Table2[[#This Row],[tee time7]])</f>
        <v>0</v>
      </c>
      <c r="AU135" s="4" t="str">
        <f>IFERROR(AVERAGE(Table2[[#This Row],[Tee time1]],Table2[[#This Row],[tee time2]],Table2[[#This Row],[tee time3]],Table2[[#This Row],[tee time4]],Table2[[#This Row],[tee time5]],Table2[[#This Row],[tee time6]],Table2[[#This Row],[tee time7]]),"")</f>
        <v/>
      </c>
      <c r="AV135" s="11" t="str">
        <f>IFERROR(MEDIAN(Table2[[#This Row],[round1]],Table2[[#This Row],[Round2]],Table2[[#This Row],[round3]],Table2[[#This Row],[round4]],Table2[[#This Row],[round5]],Table2[[#This Row],[round6]],Table2[[#This Row],[round7]]),"")</f>
        <v/>
      </c>
      <c r="AW135" s="11" t="str">
        <f>IFERROR(AVERAGE(Table2[[#This Row],[gap1]],Table2[[#This Row],[gap2]],Table2[[#This Row],[gap3]],Table2[[#This Row],[gap4]],Table2[[#This Row],[gap5]],Table2[[#This Row],[gap6]],Table2[[#This Row],[gap7]]),"")</f>
        <v/>
      </c>
      <c r="AX135" s="9" t="str">
        <f>IFERROR((Table2[[#This Row],[avg gap]]-starting_interval)*24*60*Table2[[#This Row],[Count]],"NA")</f>
        <v>NA</v>
      </c>
      <c r="AY135"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35" s="2"/>
    </row>
    <row r="136" spans="1:52" hidden="1" x14ac:dyDescent="0.3">
      <c r="A136" s="10" t="s">
        <v>2</v>
      </c>
      <c r="B136" s="1" t="s">
        <v>240</v>
      </c>
      <c r="C136" s="19">
        <v>10.1</v>
      </c>
      <c r="D136" s="32" t="str">
        <f>_xlfn.IFNA(VLOOKUP(Table2[[#This Row],[Name]],'Classic day 1 - players'!$A$2:$B$64,2,FALSE),"")</f>
        <v/>
      </c>
      <c r="E136" s="33" t="str">
        <f>IF(Table2[[#This Row],[Tee time1]]&lt;&gt;"",COUNTIF('Classic day 1 - players'!$B$2:$B$64,"="&amp;Table2[[#This Row],[Tee time1]]),"")</f>
        <v/>
      </c>
      <c r="F136" s="4" t="str">
        <f>_xlfn.IFNA(VLOOKUP(Table2[[#This Row],[Tee time1]],'Classic day 1 - groups'!$A$3:$F$20,6,FALSE),"")</f>
        <v/>
      </c>
      <c r="G136" s="11" t="str">
        <f>_xlfn.IFNA(VLOOKUP(Table2[[#This Row],[Tee time1]],'Classic day 1 - groups'!$A$3:$F$20,4,FALSE),"")</f>
        <v/>
      </c>
      <c r="H136" s="12" t="str">
        <f>_xlfn.IFNA(VLOOKUP(Table2[[#This Row],[Tee time1]],'Classic day 1 - groups'!$A$3:$F$20,5,FALSE),"")</f>
        <v/>
      </c>
      <c r="I136" s="69" t="str">
        <f>IFERROR((MAX(starting_interval,IF(Table2[[#This Row],[gap1]]="NA",Table2[[#This Row],[avg gap]],Table2[[#This Row],[gap1]]))-starting_interval)*Table2[[#This Row],[followers1]]/Table2[[#This Row],[group size]],"")</f>
        <v/>
      </c>
      <c r="J136" s="32" t="str">
        <f>_xlfn.IFNA(VLOOKUP(Table2[[#This Row],[Name]],'Classic day 2 - players'!$A$2:$B$64,2,FALSE),"")</f>
        <v/>
      </c>
      <c r="K136" s="4" t="str">
        <f>IF(Table2[[#This Row],[tee time2]]&lt;&gt;"",COUNTIF('Classic day 2 - players'!$B$2:$B$64,"="&amp;Table2[[#This Row],[tee time2]]),"")</f>
        <v/>
      </c>
      <c r="L136" s="4" t="str">
        <f>_xlfn.IFNA(VLOOKUP(Table2[[#This Row],[tee time2]],'Classic day 2 - groups'!$A$3:$F$20,6,FALSE),"")</f>
        <v/>
      </c>
      <c r="M136" s="4" t="str">
        <f>_xlfn.IFNA(VLOOKUP(Table2[[#This Row],[tee time2]],'Classic day 2 - groups'!$A$3:$F$20,4,FALSE),"")</f>
        <v/>
      </c>
      <c r="N136" s="65" t="str">
        <f>_xlfn.IFNA(VLOOKUP(Table2[[#This Row],[tee time2]],'Classic day 2 - groups'!$A$3:$F$20,5,FALSE),"")</f>
        <v/>
      </c>
      <c r="O136" s="69" t="str">
        <f>IFERROR((MAX(starting_interval,IF(Table2[[#This Row],[gap2]]="NA",Table2[[#This Row],[avg gap]],Table2[[#This Row],[gap2]]))-starting_interval)*Table2[[#This Row],[followers2]]/Table2[[#This Row],[group size2]],"")</f>
        <v/>
      </c>
      <c r="P136" s="32" t="str">
        <f>_xlfn.IFNA(VLOOKUP(Table2[[#This Row],[Name]],'Summer FD - players'!$A$2:$B$65,2,FALSE),"")</f>
        <v/>
      </c>
      <c r="Q136" s="59" t="str">
        <f>IF(Table2[[#This Row],[tee time3]]&lt;&gt;"",COUNTIF('Summer FD - players'!$B$2:$B$65,"="&amp;Table2[[#This Row],[tee time3]]),"")</f>
        <v/>
      </c>
      <c r="R136" s="59" t="str">
        <f>_xlfn.IFNA(VLOOKUP(Table2[[#This Row],[tee time3]],'Summer FD - groups'!$A$3:$F$20,6,FALSE),"")</f>
        <v/>
      </c>
      <c r="S136" s="4" t="str">
        <f>_xlfn.IFNA(VLOOKUP(Table2[[#This Row],[tee time3]],'Summer FD - groups'!$A$3:$F$20,4,FALSE),"")</f>
        <v/>
      </c>
      <c r="T136" s="13" t="str">
        <f>_xlfn.IFNA(VLOOKUP(Table2[[#This Row],[tee time3]],'Summer FD - groups'!$A$3:$F$20,5,FALSE),"")</f>
        <v/>
      </c>
      <c r="U136" s="69" t="str">
        <f>IF(Table2[[#This Row],[avg gap]]&lt;&gt;"",IFERROR((MAX(starting_interval,IF(Table2[[#This Row],[gap3]]="NA",Table2[[#This Row],[avg gap]],Table2[[#This Row],[gap3]]))-starting_interval)*Table2[[#This Row],[followers3]]/Table2[[#This Row],[group size3]],""),"")</f>
        <v/>
      </c>
      <c r="V136" s="32" t="str">
        <f>_xlfn.IFNA(VLOOKUP(Table2[[#This Row],[Name]],'6-6-6 - players'!$A$2:$B$69,2,FALSE),"")</f>
        <v/>
      </c>
      <c r="W136" s="59" t="str">
        <f>IF(Table2[[#This Row],[tee time4]]&lt;&gt;"",COUNTIF('6-6-6 - players'!$B$2:$B$69,"="&amp;Table2[[#This Row],[tee time4]]),"")</f>
        <v/>
      </c>
      <c r="X136" s="59" t="str">
        <f>_xlfn.IFNA(VLOOKUP(Table2[[#This Row],[tee time4]],'6-6-6 - groups'!$A$3:$F$20,6,FALSE),"")</f>
        <v/>
      </c>
      <c r="Y136" s="4" t="str">
        <f>_xlfn.IFNA(VLOOKUP(Table2[[#This Row],[tee time4]],'6-6-6 - groups'!$A$3:$F$20,4,FALSE),"")</f>
        <v/>
      </c>
      <c r="Z136" s="13" t="str">
        <f>_xlfn.IFNA(VLOOKUP(Table2[[#This Row],[tee time4]],'6-6-6 - groups'!$A$3:$F$20,5,FALSE),"")</f>
        <v/>
      </c>
      <c r="AA136" s="69" t="str">
        <f>IF(Table2[[#This Row],[avg gap]]&lt;&gt;"",IFERROR((MAX(starting_interval,IF(Table2[[#This Row],[gap4]]="NA",Table2[[#This Row],[avg gap]],Table2[[#This Row],[gap4]]))-starting_interval)*Table2[[#This Row],[followers4]]/Table2[[#This Row],[group size4]],""),"")</f>
        <v/>
      </c>
      <c r="AB136" s="32" t="str">
        <f>_xlfn.IFNA(VLOOKUP(Table2[[#This Row],[Name]],'Fall FD - players'!$A$2:$B$65,2,FALSE),"")</f>
        <v/>
      </c>
      <c r="AC136" s="59" t="str">
        <f>IF(Table2[[#This Row],[tee time5]]&lt;&gt;"",COUNTIF('Fall FD - players'!$B$2:$B$65,"="&amp;Table2[[#This Row],[tee time5]]),"")</f>
        <v/>
      </c>
      <c r="AD136" s="59" t="str">
        <f>_xlfn.IFNA(VLOOKUP(Table2[[#This Row],[tee time5]],'Fall FD - groups'!$A$3:$F$20,6,FALSE),"")</f>
        <v/>
      </c>
      <c r="AE136" s="4" t="str">
        <f>_xlfn.IFNA(VLOOKUP(Table2[[#This Row],[tee time5]],'Fall FD - groups'!$A$3:$F$20,4,FALSE),"")</f>
        <v/>
      </c>
      <c r="AF136" s="13" t="str">
        <f>IFERROR(MIN(_xlfn.IFNA(VLOOKUP(Table2[[#This Row],[tee time5]],'Fall FD - groups'!$A$3:$F$20,5,FALSE),""),starting_interval + Table2[[#This Row],[round5]] - standard_round_time),"")</f>
        <v/>
      </c>
      <c r="AG136" s="69" t="str">
        <f>IF(AND(Table2[[#This Row],[gap5]]="NA",Table2[[#This Row],[round5]]&lt;4/24),0,IFERROR((MAX(starting_interval,IF(Table2[[#This Row],[gap5]]="NA",Table2[[#This Row],[avg gap]],Table2[[#This Row],[gap5]]))-starting_interval)*Table2[[#This Row],[followers5]]/Table2[[#This Row],[group size5]],""))</f>
        <v/>
      </c>
      <c r="AH136" s="32" t="str">
        <f>_xlfn.IFNA(VLOOKUP(Table2[[#This Row],[Name]],'Stableford - players'!$A$2:$B$65,2,FALSE),"")</f>
        <v/>
      </c>
      <c r="AI136" s="59" t="str">
        <f>IF(Table2[[#This Row],[tee time6]]&lt;&gt;"",COUNTIF('Stableford - players'!$B$2:$B$65,"="&amp;Table2[[#This Row],[tee time6]]),"")</f>
        <v/>
      </c>
      <c r="AJ136" s="59" t="str">
        <f>_xlfn.IFNA(VLOOKUP(Table2[[#This Row],[tee time6]],'Stableford - groups'!$A$3:$F$20,6,FALSE),"")</f>
        <v/>
      </c>
      <c r="AK136" s="11" t="str">
        <f>_xlfn.IFNA(VLOOKUP(Table2[[#This Row],[tee time6]],'Stableford - groups'!$A$3:$F$20,4,FALSE),"")</f>
        <v/>
      </c>
      <c r="AL136" s="13" t="str">
        <f>_xlfn.IFNA(VLOOKUP(Table2[[#This Row],[tee time6]],'Stableford - groups'!$A$3:$F$20,5,FALSE),"")</f>
        <v/>
      </c>
      <c r="AM136" s="68" t="str">
        <f>IF(AND(Table2[[#This Row],[gap6]]="NA",Table2[[#This Row],[round6]]&lt;4/24),0,IFERROR((MAX(starting_interval,IF(Table2[[#This Row],[gap6]]="NA",Table2[[#This Row],[avg gap]],Table2[[#This Row],[gap6]]))-starting_interval)*Table2[[#This Row],[followers6]]/Table2[[#This Row],[group size6]],""))</f>
        <v/>
      </c>
      <c r="AN136" s="32" t="str">
        <f>_xlfn.IFNA(VLOOKUP(Table2[[#This Row],[Name]],'Turkey Shoot - players'!$A$2:$B$65,2,FALSE),"")</f>
        <v/>
      </c>
      <c r="AO136" s="59" t="str">
        <f>IF(Table2[[#This Row],[tee time7]]&lt;&gt;"",COUNTIF('Turkey Shoot - players'!$B$2:$B$65,"="&amp;Table2[[#This Row],[tee time7]]),"")</f>
        <v/>
      </c>
      <c r="AP136" s="59" t="str">
        <f>_xlfn.IFNA(VLOOKUP(Table2[[#This Row],[tee time7]],'Stableford - groups'!$A$3:$F$20,6,FALSE),"")</f>
        <v/>
      </c>
      <c r="AQ136" s="11" t="str">
        <f>_xlfn.IFNA(VLOOKUP(Table2[[#This Row],[tee time7]],'Turkey Shoot - groups'!$A$3:$F$20,4,FALSE),"")</f>
        <v/>
      </c>
      <c r="AR136" s="13" t="str">
        <f>_xlfn.IFNA(VLOOKUP(Table2[[#This Row],[tee time7]],'Turkey Shoot - groups'!$A$3:$F$20,5,FALSE),"")</f>
        <v/>
      </c>
      <c r="AS136" s="68" t="str">
        <f>IF(AND(Table2[[#This Row],[gap7]]="NA",Table2[[#This Row],[round7]]&lt;4/24),0,IFERROR((MAX(starting_interval,IF(Table2[[#This Row],[gap7]]="NA",Table2[[#This Row],[avg gap]],Table2[[#This Row],[gap7]]))-starting_interval)*Table2[[#This Row],[followers7]]/Table2[[#This Row],[group size7]],""))</f>
        <v/>
      </c>
      <c r="AT136" s="72">
        <f>COUNT(Table2[[#This Row],[Tee time1]],Table2[[#This Row],[tee time2]],Table2[[#This Row],[tee time3]],Table2[[#This Row],[tee time4]],Table2[[#This Row],[tee time5]],Table2[[#This Row],[tee time6]],Table2[[#This Row],[tee time7]])</f>
        <v>0</v>
      </c>
      <c r="AU136" s="4" t="str">
        <f>IFERROR(AVERAGE(Table2[[#This Row],[Tee time1]],Table2[[#This Row],[tee time2]],Table2[[#This Row],[tee time3]],Table2[[#This Row],[tee time4]],Table2[[#This Row],[tee time5]],Table2[[#This Row],[tee time6]],Table2[[#This Row],[tee time7]]),"")</f>
        <v/>
      </c>
      <c r="AV136" s="11" t="str">
        <f>IFERROR(MEDIAN(Table2[[#This Row],[round1]],Table2[[#This Row],[Round2]],Table2[[#This Row],[round3]],Table2[[#This Row],[round4]],Table2[[#This Row],[round5]],Table2[[#This Row],[round6]],Table2[[#This Row],[round7]]),"")</f>
        <v/>
      </c>
      <c r="AW136" s="11" t="str">
        <f>IFERROR(AVERAGE(Table2[[#This Row],[gap1]],Table2[[#This Row],[gap2]],Table2[[#This Row],[gap3]],Table2[[#This Row],[gap4]],Table2[[#This Row],[gap5]],Table2[[#This Row],[gap6]],Table2[[#This Row],[gap7]]),"")</f>
        <v/>
      </c>
      <c r="AX136" s="9" t="str">
        <f>IFERROR((Table2[[#This Row],[avg gap]]-starting_interval)*24*60*Table2[[#This Row],[Count]],"NA")</f>
        <v>NA</v>
      </c>
      <c r="AY136"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36" s="2"/>
    </row>
    <row r="137" spans="1:52" hidden="1" x14ac:dyDescent="0.3">
      <c r="A137" s="10" t="s">
        <v>7</v>
      </c>
      <c r="B137" s="1" t="s">
        <v>245</v>
      </c>
      <c r="C137" s="19">
        <v>15.3</v>
      </c>
      <c r="D137" s="32" t="str">
        <f>_xlfn.IFNA(VLOOKUP(Table2[[#This Row],[Name]],'Classic day 1 - players'!$A$2:$B$64,2,FALSE),"")</f>
        <v/>
      </c>
      <c r="E137" s="33" t="str">
        <f>IF(Table2[[#This Row],[Tee time1]]&lt;&gt;"",COUNTIF('Classic day 1 - players'!$B$2:$B$64,"="&amp;Table2[[#This Row],[Tee time1]]),"")</f>
        <v/>
      </c>
      <c r="F137" s="4" t="str">
        <f>_xlfn.IFNA(VLOOKUP(Table2[[#This Row],[Tee time1]],'Classic day 1 - groups'!$A$3:$F$20,6,FALSE),"")</f>
        <v/>
      </c>
      <c r="G137" s="11" t="str">
        <f>_xlfn.IFNA(VLOOKUP(Table2[[#This Row],[Tee time1]],'Classic day 1 - groups'!$A$3:$F$20,4,FALSE),"")</f>
        <v/>
      </c>
      <c r="H137" s="12" t="str">
        <f>_xlfn.IFNA(VLOOKUP(Table2[[#This Row],[Tee time1]],'Classic day 1 - groups'!$A$3:$F$20,5,FALSE),"")</f>
        <v/>
      </c>
      <c r="I137" s="69" t="str">
        <f>IFERROR((MAX(starting_interval,IF(Table2[[#This Row],[gap1]]="NA",Table2[[#This Row],[avg gap]],Table2[[#This Row],[gap1]]))-starting_interval)*Table2[[#This Row],[followers1]]/Table2[[#This Row],[group size]],"")</f>
        <v/>
      </c>
      <c r="J137" s="32" t="str">
        <f>_xlfn.IFNA(VLOOKUP(Table2[[#This Row],[Name]],'Classic day 2 - players'!$A$2:$B$64,2,FALSE),"")</f>
        <v/>
      </c>
      <c r="K137" s="4" t="str">
        <f>IF(Table2[[#This Row],[tee time2]]&lt;&gt;"",COUNTIF('Classic day 2 - players'!$B$2:$B$64,"="&amp;Table2[[#This Row],[tee time2]]),"")</f>
        <v/>
      </c>
      <c r="L137" s="4" t="str">
        <f>_xlfn.IFNA(VLOOKUP(Table2[[#This Row],[tee time2]],'Classic day 2 - groups'!$A$3:$F$20,6,FALSE),"")</f>
        <v/>
      </c>
      <c r="M137" s="4" t="str">
        <f>_xlfn.IFNA(VLOOKUP(Table2[[#This Row],[tee time2]],'Classic day 2 - groups'!$A$3:$F$20,4,FALSE),"")</f>
        <v/>
      </c>
      <c r="N137" s="65" t="str">
        <f>_xlfn.IFNA(VLOOKUP(Table2[[#This Row],[tee time2]],'Classic day 2 - groups'!$A$3:$F$20,5,FALSE),"")</f>
        <v/>
      </c>
      <c r="O137" s="69" t="str">
        <f>IFERROR((MAX(starting_interval,IF(Table2[[#This Row],[gap2]]="NA",Table2[[#This Row],[avg gap]],Table2[[#This Row],[gap2]]))-starting_interval)*Table2[[#This Row],[followers2]]/Table2[[#This Row],[group size2]],"")</f>
        <v/>
      </c>
      <c r="P137" s="32" t="str">
        <f>_xlfn.IFNA(VLOOKUP(Table2[[#This Row],[Name]],'Summer FD - players'!$A$2:$B$65,2,FALSE),"")</f>
        <v/>
      </c>
      <c r="Q137" s="59" t="str">
        <f>IF(Table2[[#This Row],[tee time3]]&lt;&gt;"",COUNTIF('Summer FD - players'!$B$2:$B$65,"="&amp;Table2[[#This Row],[tee time3]]),"")</f>
        <v/>
      </c>
      <c r="R137" s="59" t="str">
        <f>_xlfn.IFNA(VLOOKUP(Table2[[#This Row],[tee time3]],'Summer FD - groups'!$A$3:$F$20,6,FALSE),"")</f>
        <v/>
      </c>
      <c r="S137" s="4" t="str">
        <f>_xlfn.IFNA(VLOOKUP(Table2[[#This Row],[tee time3]],'Summer FD - groups'!$A$3:$F$20,4,FALSE),"")</f>
        <v/>
      </c>
      <c r="T137" s="13" t="str">
        <f>_xlfn.IFNA(VLOOKUP(Table2[[#This Row],[tee time3]],'Summer FD - groups'!$A$3:$F$20,5,FALSE),"")</f>
        <v/>
      </c>
      <c r="U137" s="69" t="str">
        <f>IF(Table2[[#This Row],[avg gap]]&lt;&gt;"",IFERROR((MAX(starting_interval,IF(Table2[[#This Row],[gap3]]="NA",Table2[[#This Row],[avg gap]],Table2[[#This Row],[gap3]]))-starting_interval)*Table2[[#This Row],[followers3]]/Table2[[#This Row],[group size3]],""),"")</f>
        <v/>
      </c>
      <c r="V137" s="32" t="str">
        <f>_xlfn.IFNA(VLOOKUP(Table2[[#This Row],[Name]],'6-6-6 - players'!$A$2:$B$69,2,FALSE),"")</f>
        <v/>
      </c>
      <c r="W137" s="59" t="str">
        <f>IF(Table2[[#This Row],[tee time4]]&lt;&gt;"",COUNTIF('6-6-6 - players'!$B$2:$B$69,"="&amp;Table2[[#This Row],[tee time4]]),"")</f>
        <v/>
      </c>
      <c r="X137" s="59" t="str">
        <f>_xlfn.IFNA(VLOOKUP(Table2[[#This Row],[tee time4]],'6-6-6 - groups'!$A$3:$F$20,6,FALSE),"")</f>
        <v/>
      </c>
      <c r="Y137" s="4" t="str">
        <f>_xlfn.IFNA(VLOOKUP(Table2[[#This Row],[tee time4]],'6-6-6 - groups'!$A$3:$F$20,4,FALSE),"")</f>
        <v/>
      </c>
      <c r="Z137" s="13" t="str">
        <f>_xlfn.IFNA(VLOOKUP(Table2[[#This Row],[tee time4]],'6-6-6 - groups'!$A$3:$F$20,5,FALSE),"")</f>
        <v/>
      </c>
      <c r="AA137" s="69" t="str">
        <f>IF(Table2[[#This Row],[avg gap]]&lt;&gt;"",IFERROR((MAX(starting_interval,IF(Table2[[#This Row],[gap4]]="NA",Table2[[#This Row],[avg gap]],Table2[[#This Row],[gap4]]))-starting_interval)*Table2[[#This Row],[followers4]]/Table2[[#This Row],[group size4]],""),"")</f>
        <v/>
      </c>
      <c r="AB137" s="32" t="str">
        <f>_xlfn.IFNA(VLOOKUP(Table2[[#This Row],[Name]],'Fall FD - players'!$A$2:$B$65,2,FALSE),"")</f>
        <v/>
      </c>
      <c r="AC137" s="59" t="str">
        <f>IF(Table2[[#This Row],[tee time5]]&lt;&gt;"",COUNTIF('Fall FD - players'!$B$2:$B$65,"="&amp;Table2[[#This Row],[tee time5]]),"")</f>
        <v/>
      </c>
      <c r="AD137" s="59" t="str">
        <f>_xlfn.IFNA(VLOOKUP(Table2[[#This Row],[tee time5]],'Fall FD - groups'!$A$3:$F$20,6,FALSE),"")</f>
        <v/>
      </c>
      <c r="AE137" s="4" t="str">
        <f>_xlfn.IFNA(VLOOKUP(Table2[[#This Row],[tee time5]],'Fall FD - groups'!$A$3:$F$20,4,FALSE),"")</f>
        <v/>
      </c>
      <c r="AF137" s="13" t="str">
        <f>IFERROR(MIN(_xlfn.IFNA(VLOOKUP(Table2[[#This Row],[tee time5]],'Fall FD - groups'!$A$3:$F$20,5,FALSE),""),starting_interval + Table2[[#This Row],[round5]] - standard_round_time),"")</f>
        <v/>
      </c>
      <c r="AG137" s="69" t="str">
        <f>IF(AND(Table2[[#This Row],[gap5]]="NA",Table2[[#This Row],[round5]]&lt;4/24),0,IFERROR((MAX(starting_interval,IF(Table2[[#This Row],[gap5]]="NA",Table2[[#This Row],[avg gap]],Table2[[#This Row],[gap5]]))-starting_interval)*Table2[[#This Row],[followers5]]/Table2[[#This Row],[group size5]],""))</f>
        <v/>
      </c>
      <c r="AH137" s="32" t="str">
        <f>_xlfn.IFNA(VLOOKUP(Table2[[#This Row],[Name]],'Stableford - players'!$A$2:$B$65,2,FALSE),"")</f>
        <v/>
      </c>
      <c r="AI137" s="59" t="str">
        <f>IF(Table2[[#This Row],[tee time6]]&lt;&gt;"",COUNTIF('Stableford - players'!$B$2:$B$65,"="&amp;Table2[[#This Row],[tee time6]]),"")</f>
        <v/>
      </c>
      <c r="AJ137" s="59" t="str">
        <f>_xlfn.IFNA(VLOOKUP(Table2[[#This Row],[tee time6]],'Stableford - groups'!$A$3:$F$20,6,FALSE),"")</f>
        <v/>
      </c>
      <c r="AK137" s="11" t="str">
        <f>_xlfn.IFNA(VLOOKUP(Table2[[#This Row],[tee time6]],'Stableford - groups'!$A$3:$F$20,4,FALSE),"")</f>
        <v/>
      </c>
      <c r="AL137" s="13" t="str">
        <f>_xlfn.IFNA(VLOOKUP(Table2[[#This Row],[tee time6]],'Stableford - groups'!$A$3:$F$20,5,FALSE),"")</f>
        <v/>
      </c>
      <c r="AM137" s="68" t="str">
        <f>IF(AND(Table2[[#This Row],[gap6]]="NA",Table2[[#This Row],[round6]]&lt;4/24),0,IFERROR((MAX(starting_interval,IF(Table2[[#This Row],[gap6]]="NA",Table2[[#This Row],[avg gap]],Table2[[#This Row],[gap6]]))-starting_interval)*Table2[[#This Row],[followers6]]/Table2[[#This Row],[group size6]],""))</f>
        <v/>
      </c>
      <c r="AN137" s="32" t="str">
        <f>_xlfn.IFNA(VLOOKUP(Table2[[#This Row],[Name]],'Turkey Shoot - players'!$A$2:$B$65,2,FALSE),"")</f>
        <v/>
      </c>
      <c r="AO137" s="59" t="str">
        <f>IF(Table2[[#This Row],[tee time7]]&lt;&gt;"",COUNTIF('Turkey Shoot - players'!$B$2:$B$65,"="&amp;Table2[[#This Row],[tee time7]]),"")</f>
        <v/>
      </c>
      <c r="AP137" s="59" t="str">
        <f>_xlfn.IFNA(VLOOKUP(Table2[[#This Row],[tee time7]],'Stableford - groups'!$A$3:$F$20,6,FALSE),"")</f>
        <v/>
      </c>
      <c r="AQ137" s="11" t="str">
        <f>_xlfn.IFNA(VLOOKUP(Table2[[#This Row],[tee time7]],'Turkey Shoot - groups'!$A$3:$F$20,4,FALSE),"")</f>
        <v/>
      </c>
      <c r="AR137" s="13" t="str">
        <f>_xlfn.IFNA(VLOOKUP(Table2[[#This Row],[tee time7]],'Turkey Shoot - groups'!$A$3:$F$20,5,FALSE),"")</f>
        <v/>
      </c>
      <c r="AS137" s="68" t="str">
        <f>IF(AND(Table2[[#This Row],[gap7]]="NA",Table2[[#This Row],[round7]]&lt;4/24),0,IFERROR((MAX(starting_interval,IF(Table2[[#This Row],[gap7]]="NA",Table2[[#This Row],[avg gap]],Table2[[#This Row],[gap7]]))-starting_interval)*Table2[[#This Row],[followers7]]/Table2[[#This Row],[group size7]],""))</f>
        <v/>
      </c>
      <c r="AT137" s="72">
        <f>COUNT(Table2[[#This Row],[Tee time1]],Table2[[#This Row],[tee time2]],Table2[[#This Row],[tee time3]],Table2[[#This Row],[tee time4]],Table2[[#This Row],[tee time5]],Table2[[#This Row],[tee time6]],Table2[[#This Row],[tee time7]])</f>
        <v>0</v>
      </c>
      <c r="AU137" s="4" t="str">
        <f>IFERROR(AVERAGE(Table2[[#This Row],[Tee time1]],Table2[[#This Row],[tee time2]],Table2[[#This Row],[tee time3]],Table2[[#This Row],[tee time4]],Table2[[#This Row],[tee time5]],Table2[[#This Row],[tee time6]],Table2[[#This Row],[tee time7]]),"")</f>
        <v/>
      </c>
      <c r="AV137" s="11" t="str">
        <f>IFERROR(MEDIAN(Table2[[#This Row],[round1]],Table2[[#This Row],[Round2]],Table2[[#This Row],[round3]],Table2[[#This Row],[round4]],Table2[[#This Row],[round5]],Table2[[#This Row],[round6]],Table2[[#This Row],[round7]]),"")</f>
        <v/>
      </c>
      <c r="AW137" s="11" t="str">
        <f>IFERROR(AVERAGE(Table2[[#This Row],[gap1]],Table2[[#This Row],[gap2]],Table2[[#This Row],[gap3]],Table2[[#This Row],[gap4]],Table2[[#This Row],[gap5]],Table2[[#This Row],[gap6]],Table2[[#This Row],[gap7]]),"")</f>
        <v/>
      </c>
      <c r="AX137" s="9" t="str">
        <f>IFERROR((Table2[[#This Row],[avg gap]]-starting_interval)*24*60*Table2[[#This Row],[Count]],"NA")</f>
        <v>NA</v>
      </c>
      <c r="AY137"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37" s="2"/>
    </row>
    <row r="138" spans="1:52" hidden="1" x14ac:dyDescent="0.3">
      <c r="A138" s="10" t="s">
        <v>8</v>
      </c>
      <c r="B138" s="1" t="s">
        <v>246</v>
      </c>
      <c r="C138" s="19">
        <v>11.1</v>
      </c>
      <c r="D138" s="32" t="str">
        <f>_xlfn.IFNA(VLOOKUP(Table2[[#This Row],[Name]],'Classic day 1 - players'!$A$2:$B$64,2,FALSE),"")</f>
        <v/>
      </c>
      <c r="E138" s="33" t="str">
        <f>IF(Table2[[#This Row],[Tee time1]]&lt;&gt;"",COUNTIF('Classic day 1 - players'!$B$2:$B$64,"="&amp;Table2[[#This Row],[Tee time1]]),"")</f>
        <v/>
      </c>
      <c r="F138" s="4" t="str">
        <f>_xlfn.IFNA(VLOOKUP(Table2[[#This Row],[Tee time1]],'Classic day 1 - groups'!$A$3:$F$20,6,FALSE),"")</f>
        <v/>
      </c>
      <c r="G138" s="11" t="str">
        <f>_xlfn.IFNA(VLOOKUP(Table2[[#This Row],[Tee time1]],'Classic day 1 - groups'!$A$3:$F$20,4,FALSE),"")</f>
        <v/>
      </c>
      <c r="H138" s="12" t="str">
        <f>_xlfn.IFNA(VLOOKUP(Table2[[#This Row],[Tee time1]],'Classic day 1 - groups'!$A$3:$F$20,5,FALSE),"")</f>
        <v/>
      </c>
      <c r="I138" s="69" t="str">
        <f>IFERROR((MAX(starting_interval,IF(Table2[[#This Row],[gap1]]="NA",Table2[[#This Row],[avg gap]],Table2[[#This Row],[gap1]]))-starting_interval)*Table2[[#This Row],[followers1]]/Table2[[#This Row],[group size]],"")</f>
        <v/>
      </c>
      <c r="J138" s="32" t="str">
        <f>_xlfn.IFNA(VLOOKUP(Table2[[#This Row],[Name]],'Classic day 2 - players'!$A$2:$B$64,2,FALSE),"")</f>
        <v/>
      </c>
      <c r="K138" s="4" t="str">
        <f>IF(Table2[[#This Row],[tee time2]]&lt;&gt;"",COUNTIF('Classic day 2 - players'!$B$2:$B$64,"="&amp;Table2[[#This Row],[tee time2]]),"")</f>
        <v/>
      </c>
      <c r="L138" s="4" t="str">
        <f>_xlfn.IFNA(VLOOKUP(Table2[[#This Row],[tee time2]],'Classic day 2 - groups'!$A$3:$F$20,6,FALSE),"")</f>
        <v/>
      </c>
      <c r="M138" s="4" t="str">
        <f>_xlfn.IFNA(VLOOKUP(Table2[[#This Row],[tee time2]],'Classic day 2 - groups'!$A$3:$F$20,4,FALSE),"")</f>
        <v/>
      </c>
      <c r="N138" s="65" t="str">
        <f>_xlfn.IFNA(VLOOKUP(Table2[[#This Row],[tee time2]],'Classic day 2 - groups'!$A$3:$F$20,5,FALSE),"")</f>
        <v/>
      </c>
      <c r="O138" s="69" t="str">
        <f>IFERROR((MAX(starting_interval,IF(Table2[[#This Row],[gap2]]="NA",Table2[[#This Row],[avg gap]],Table2[[#This Row],[gap2]]))-starting_interval)*Table2[[#This Row],[followers2]]/Table2[[#This Row],[group size2]],"")</f>
        <v/>
      </c>
      <c r="P138" s="32" t="str">
        <f>_xlfn.IFNA(VLOOKUP(Table2[[#This Row],[Name]],'Summer FD - players'!$A$2:$B$65,2,FALSE),"")</f>
        <v/>
      </c>
      <c r="Q138" s="59" t="str">
        <f>IF(Table2[[#This Row],[tee time3]]&lt;&gt;"",COUNTIF('Summer FD - players'!$B$2:$B$65,"="&amp;Table2[[#This Row],[tee time3]]),"")</f>
        <v/>
      </c>
      <c r="R138" s="59" t="str">
        <f>_xlfn.IFNA(VLOOKUP(Table2[[#This Row],[tee time3]],'Summer FD - groups'!$A$3:$F$20,6,FALSE),"")</f>
        <v/>
      </c>
      <c r="S138" s="4" t="str">
        <f>_xlfn.IFNA(VLOOKUP(Table2[[#This Row],[tee time3]],'Summer FD - groups'!$A$3:$F$20,4,FALSE),"")</f>
        <v/>
      </c>
      <c r="T138" s="13" t="str">
        <f>_xlfn.IFNA(VLOOKUP(Table2[[#This Row],[tee time3]],'Summer FD - groups'!$A$3:$F$20,5,FALSE),"")</f>
        <v/>
      </c>
      <c r="U138" s="69" t="str">
        <f>IF(Table2[[#This Row],[avg gap]]&lt;&gt;"",IFERROR((MAX(starting_interval,IF(Table2[[#This Row],[gap3]]="NA",Table2[[#This Row],[avg gap]],Table2[[#This Row],[gap3]]))-starting_interval)*Table2[[#This Row],[followers3]]/Table2[[#This Row],[group size3]],""),"")</f>
        <v/>
      </c>
      <c r="V138" s="32" t="str">
        <f>_xlfn.IFNA(VLOOKUP(Table2[[#This Row],[Name]],'6-6-6 - players'!$A$2:$B$69,2,FALSE),"")</f>
        <v/>
      </c>
      <c r="W138" s="59" t="str">
        <f>IF(Table2[[#This Row],[tee time4]]&lt;&gt;"",COUNTIF('6-6-6 - players'!$B$2:$B$69,"="&amp;Table2[[#This Row],[tee time4]]),"")</f>
        <v/>
      </c>
      <c r="X138" s="59" t="str">
        <f>_xlfn.IFNA(VLOOKUP(Table2[[#This Row],[tee time4]],'6-6-6 - groups'!$A$3:$F$20,6,FALSE),"")</f>
        <v/>
      </c>
      <c r="Y138" s="4" t="str">
        <f>_xlfn.IFNA(VLOOKUP(Table2[[#This Row],[tee time4]],'6-6-6 - groups'!$A$3:$F$20,4,FALSE),"")</f>
        <v/>
      </c>
      <c r="Z138" s="13" t="str">
        <f>_xlfn.IFNA(VLOOKUP(Table2[[#This Row],[tee time4]],'6-6-6 - groups'!$A$3:$F$20,5,FALSE),"")</f>
        <v/>
      </c>
      <c r="AA138" s="69" t="str">
        <f>IF(Table2[[#This Row],[avg gap]]&lt;&gt;"",IFERROR((MAX(starting_interval,IF(Table2[[#This Row],[gap4]]="NA",Table2[[#This Row],[avg gap]],Table2[[#This Row],[gap4]]))-starting_interval)*Table2[[#This Row],[followers4]]/Table2[[#This Row],[group size4]],""),"")</f>
        <v/>
      </c>
      <c r="AB138" s="32" t="str">
        <f>_xlfn.IFNA(VLOOKUP(Table2[[#This Row],[Name]],'Fall FD - players'!$A$2:$B$65,2,FALSE),"")</f>
        <v/>
      </c>
      <c r="AC138" s="59" t="str">
        <f>IF(Table2[[#This Row],[tee time5]]&lt;&gt;"",COUNTIF('Fall FD - players'!$B$2:$B$65,"="&amp;Table2[[#This Row],[tee time5]]),"")</f>
        <v/>
      </c>
      <c r="AD138" s="59" t="str">
        <f>_xlfn.IFNA(VLOOKUP(Table2[[#This Row],[tee time5]],'Fall FD - groups'!$A$3:$F$20,6,FALSE),"")</f>
        <v/>
      </c>
      <c r="AE138" s="4" t="str">
        <f>_xlfn.IFNA(VLOOKUP(Table2[[#This Row],[tee time5]],'Fall FD - groups'!$A$3:$F$20,4,FALSE),"")</f>
        <v/>
      </c>
      <c r="AF138" s="13" t="str">
        <f>IFERROR(MIN(_xlfn.IFNA(VLOOKUP(Table2[[#This Row],[tee time5]],'Fall FD - groups'!$A$3:$F$20,5,FALSE),""),starting_interval + Table2[[#This Row],[round5]] - standard_round_time),"")</f>
        <v/>
      </c>
      <c r="AG138" s="69" t="str">
        <f>IF(AND(Table2[[#This Row],[gap5]]="NA",Table2[[#This Row],[round5]]&lt;4/24),0,IFERROR((MAX(starting_interval,IF(Table2[[#This Row],[gap5]]="NA",Table2[[#This Row],[avg gap]],Table2[[#This Row],[gap5]]))-starting_interval)*Table2[[#This Row],[followers5]]/Table2[[#This Row],[group size5]],""))</f>
        <v/>
      </c>
      <c r="AH138" s="32" t="str">
        <f>_xlfn.IFNA(VLOOKUP(Table2[[#This Row],[Name]],'Stableford - players'!$A$2:$B$65,2,FALSE),"")</f>
        <v/>
      </c>
      <c r="AI138" s="59" t="str">
        <f>IF(Table2[[#This Row],[tee time6]]&lt;&gt;"",COUNTIF('Stableford - players'!$B$2:$B$65,"="&amp;Table2[[#This Row],[tee time6]]),"")</f>
        <v/>
      </c>
      <c r="AJ138" s="59" t="str">
        <f>_xlfn.IFNA(VLOOKUP(Table2[[#This Row],[tee time6]],'Stableford - groups'!$A$3:$F$20,6,FALSE),"")</f>
        <v/>
      </c>
      <c r="AK138" s="11" t="str">
        <f>_xlfn.IFNA(VLOOKUP(Table2[[#This Row],[tee time6]],'Stableford - groups'!$A$3:$F$20,4,FALSE),"")</f>
        <v/>
      </c>
      <c r="AL138" s="13" t="str">
        <f>_xlfn.IFNA(VLOOKUP(Table2[[#This Row],[tee time6]],'Stableford - groups'!$A$3:$F$20,5,FALSE),"")</f>
        <v/>
      </c>
      <c r="AM138" s="68" t="str">
        <f>IF(AND(Table2[[#This Row],[gap6]]="NA",Table2[[#This Row],[round6]]&lt;4/24),0,IFERROR((MAX(starting_interval,IF(Table2[[#This Row],[gap6]]="NA",Table2[[#This Row],[avg gap]],Table2[[#This Row],[gap6]]))-starting_interval)*Table2[[#This Row],[followers6]]/Table2[[#This Row],[group size6]],""))</f>
        <v/>
      </c>
      <c r="AN138" s="32" t="str">
        <f>_xlfn.IFNA(VLOOKUP(Table2[[#This Row],[Name]],'Turkey Shoot - players'!$A$2:$B$65,2,FALSE),"")</f>
        <v/>
      </c>
      <c r="AO138" s="59" t="str">
        <f>IF(Table2[[#This Row],[tee time7]]&lt;&gt;"",COUNTIF('Turkey Shoot - players'!$B$2:$B$65,"="&amp;Table2[[#This Row],[tee time7]]),"")</f>
        <v/>
      </c>
      <c r="AP138" s="59" t="str">
        <f>_xlfn.IFNA(VLOOKUP(Table2[[#This Row],[tee time7]],'Stableford - groups'!$A$3:$F$20,6,FALSE),"")</f>
        <v/>
      </c>
      <c r="AQ138" s="11" t="str">
        <f>_xlfn.IFNA(VLOOKUP(Table2[[#This Row],[tee time7]],'Turkey Shoot - groups'!$A$3:$F$20,4,FALSE),"")</f>
        <v/>
      </c>
      <c r="AR138" s="13" t="str">
        <f>_xlfn.IFNA(VLOOKUP(Table2[[#This Row],[tee time7]],'Turkey Shoot - groups'!$A$3:$F$20,5,FALSE),"")</f>
        <v/>
      </c>
      <c r="AS138" s="68" t="str">
        <f>IF(AND(Table2[[#This Row],[gap7]]="NA",Table2[[#This Row],[round7]]&lt;4/24),0,IFERROR((MAX(starting_interval,IF(Table2[[#This Row],[gap7]]="NA",Table2[[#This Row],[avg gap]],Table2[[#This Row],[gap7]]))-starting_interval)*Table2[[#This Row],[followers7]]/Table2[[#This Row],[group size7]],""))</f>
        <v/>
      </c>
      <c r="AT138" s="72">
        <f>COUNT(Table2[[#This Row],[Tee time1]],Table2[[#This Row],[tee time2]],Table2[[#This Row],[tee time3]],Table2[[#This Row],[tee time4]],Table2[[#This Row],[tee time5]],Table2[[#This Row],[tee time6]],Table2[[#This Row],[tee time7]])</f>
        <v>0</v>
      </c>
      <c r="AU138" s="4" t="str">
        <f>IFERROR(AVERAGE(Table2[[#This Row],[Tee time1]],Table2[[#This Row],[tee time2]],Table2[[#This Row],[tee time3]],Table2[[#This Row],[tee time4]],Table2[[#This Row],[tee time5]],Table2[[#This Row],[tee time6]],Table2[[#This Row],[tee time7]]),"")</f>
        <v/>
      </c>
      <c r="AV138" s="11" t="str">
        <f>IFERROR(MEDIAN(Table2[[#This Row],[round1]],Table2[[#This Row],[Round2]],Table2[[#This Row],[round3]],Table2[[#This Row],[round4]],Table2[[#This Row],[round5]],Table2[[#This Row],[round6]],Table2[[#This Row],[round7]]),"")</f>
        <v/>
      </c>
      <c r="AW138" s="11" t="str">
        <f>IFERROR(AVERAGE(Table2[[#This Row],[gap1]],Table2[[#This Row],[gap2]],Table2[[#This Row],[gap3]],Table2[[#This Row],[gap4]],Table2[[#This Row],[gap5]],Table2[[#This Row],[gap6]],Table2[[#This Row],[gap7]]),"")</f>
        <v/>
      </c>
      <c r="AX138" s="9" t="str">
        <f>IFERROR((Table2[[#This Row],[avg gap]]-starting_interval)*24*60*Table2[[#This Row],[Count]],"NA")</f>
        <v>NA</v>
      </c>
      <c r="AY138"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38" s="2"/>
    </row>
    <row r="139" spans="1:52" x14ac:dyDescent="0.3">
      <c r="A139" s="10" t="s">
        <v>10</v>
      </c>
      <c r="B139" s="1" t="s">
        <v>248</v>
      </c>
      <c r="C139" s="19">
        <v>14</v>
      </c>
      <c r="D139" s="32" t="str">
        <f>_xlfn.IFNA(VLOOKUP(Table2[[#This Row],[Name]],'Classic day 1 - players'!$A$2:$B$64,2,FALSE),"")</f>
        <v/>
      </c>
      <c r="E139" s="33" t="str">
        <f>IF(Table2[[#This Row],[Tee time1]]&lt;&gt;"",COUNTIF('Classic day 1 - players'!$B$2:$B$64,"="&amp;Table2[[#This Row],[Tee time1]]),"")</f>
        <v/>
      </c>
      <c r="F139" s="4" t="str">
        <f>_xlfn.IFNA(VLOOKUP(Table2[[#This Row],[Tee time1]],'Classic day 1 - groups'!$A$3:$F$20,6,FALSE),"")</f>
        <v/>
      </c>
      <c r="G139" s="11" t="str">
        <f>_xlfn.IFNA(VLOOKUP(Table2[[#This Row],[Tee time1]],'Classic day 1 - groups'!$A$3:$F$20,4,FALSE),"")</f>
        <v/>
      </c>
      <c r="H139" s="12" t="str">
        <f>_xlfn.IFNA(VLOOKUP(Table2[[#This Row],[Tee time1]],'Classic day 1 - groups'!$A$3:$F$20,5,FALSE),"")</f>
        <v/>
      </c>
      <c r="I139" s="69" t="str">
        <f>IFERROR((MAX(starting_interval,IF(Table2[[#This Row],[gap1]]="NA",Table2[[#This Row],[avg gap]],Table2[[#This Row],[gap1]]))-starting_interval)*Table2[[#This Row],[followers1]]/Table2[[#This Row],[group size]],"")</f>
        <v/>
      </c>
      <c r="J139" s="32" t="str">
        <f>_xlfn.IFNA(VLOOKUP(Table2[[#This Row],[Name]],'Classic day 2 - players'!$A$2:$B$64,2,FALSE),"")</f>
        <v/>
      </c>
      <c r="K139" s="4" t="str">
        <f>IF(Table2[[#This Row],[tee time2]]&lt;&gt;"",COUNTIF('Classic day 2 - players'!$B$2:$B$64,"="&amp;Table2[[#This Row],[tee time2]]),"")</f>
        <v/>
      </c>
      <c r="L139" s="4" t="str">
        <f>_xlfn.IFNA(VLOOKUP(Table2[[#This Row],[tee time2]],'Classic day 2 - groups'!$A$3:$F$20,6,FALSE),"")</f>
        <v/>
      </c>
      <c r="M139" s="4" t="str">
        <f>_xlfn.IFNA(VLOOKUP(Table2[[#This Row],[tee time2]],'Classic day 2 - groups'!$A$3:$F$20,4,FALSE),"")</f>
        <v/>
      </c>
      <c r="N139" s="65" t="str">
        <f>_xlfn.IFNA(VLOOKUP(Table2[[#This Row],[tee time2]],'Classic day 2 - groups'!$A$3:$F$20,5,FALSE),"")</f>
        <v/>
      </c>
      <c r="O139" s="69" t="str">
        <f>IFERROR((MAX(starting_interval,IF(Table2[[#This Row],[gap2]]="NA",Table2[[#This Row],[avg gap]],Table2[[#This Row],[gap2]]))-starting_interval)*Table2[[#This Row],[followers2]]/Table2[[#This Row],[group size2]],"")</f>
        <v/>
      </c>
      <c r="P139" s="32" t="str">
        <f>_xlfn.IFNA(VLOOKUP(Table2[[#This Row],[Name]],'Summer FD - players'!$A$2:$B$65,2,FALSE),"")</f>
        <v/>
      </c>
      <c r="Q139" s="59" t="str">
        <f>IF(Table2[[#This Row],[tee time3]]&lt;&gt;"",COUNTIF('Summer FD - players'!$B$2:$B$65,"="&amp;Table2[[#This Row],[tee time3]]),"")</f>
        <v/>
      </c>
      <c r="R139" s="59" t="str">
        <f>_xlfn.IFNA(VLOOKUP(Table2[[#This Row],[tee time3]],'Summer FD - groups'!$A$3:$F$20,6,FALSE),"")</f>
        <v/>
      </c>
      <c r="S139" s="4" t="str">
        <f>_xlfn.IFNA(VLOOKUP(Table2[[#This Row],[tee time3]],'Summer FD - groups'!$A$3:$F$20,4,FALSE),"")</f>
        <v/>
      </c>
      <c r="T139" s="13" t="str">
        <f>_xlfn.IFNA(VLOOKUP(Table2[[#This Row],[tee time3]],'Summer FD - groups'!$A$3:$F$20,5,FALSE),"")</f>
        <v/>
      </c>
      <c r="U139" s="69" t="str">
        <f>IF(Table2[[#This Row],[avg gap]]&lt;&gt;"",IFERROR((MAX(starting_interval,IF(Table2[[#This Row],[gap3]]="NA",Table2[[#This Row],[avg gap]],Table2[[#This Row],[gap3]]))-starting_interval)*Table2[[#This Row],[followers3]]/Table2[[#This Row],[group size3]],""),"")</f>
        <v/>
      </c>
      <c r="V139" s="32" t="str">
        <f>_xlfn.IFNA(VLOOKUP(Table2[[#This Row],[Name]],'6-6-6 - players'!$A$2:$B$69,2,FALSE),"")</f>
        <v/>
      </c>
      <c r="W139" s="59" t="str">
        <f>IF(Table2[[#This Row],[tee time4]]&lt;&gt;"",COUNTIF('6-6-6 - players'!$B$2:$B$69,"="&amp;Table2[[#This Row],[tee time4]]),"")</f>
        <v/>
      </c>
      <c r="X139" s="59" t="str">
        <f>_xlfn.IFNA(VLOOKUP(Table2[[#This Row],[tee time4]],'6-6-6 - groups'!$A$3:$F$20,6,FALSE),"")</f>
        <v/>
      </c>
      <c r="Y139" s="4" t="str">
        <f>_xlfn.IFNA(VLOOKUP(Table2[[#This Row],[tee time4]],'6-6-6 - groups'!$A$3:$F$20,4,FALSE),"")</f>
        <v/>
      </c>
      <c r="Z139" s="13" t="str">
        <f>_xlfn.IFNA(VLOOKUP(Table2[[#This Row],[tee time4]],'6-6-6 - groups'!$A$3:$F$20,5,FALSE),"")</f>
        <v/>
      </c>
      <c r="AA139" s="69" t="str">
        <f>IF(Table2[[#This Row],[avg gap]]&lt;&gt;"",IFERROR((MAX(starting_interval,IF(Table2[[#This Row],[gap4]]="NA",Table2[[#This Row],[avg gap]],Table2[[#This Row],[gap4]]))-starting_interval)*Table2[[#This Row],[followers4]]/Table2[[#This Row],[group size4]],""),"")</f>
        <v/>
      </c>
      <c r="AB139" s="32" t="str">
        <f>_xlfn.IFNA(VLOOKUP(Table2[[#This Row],[Name]],'Fall FD - players'!$A$2:$B$65,2,FALSE),"")</f>
        <v/>
      </c>
      <c r="AC139" s="59" t="str">
        <f>IF(Table2[[#This Row],[tee time5]]&lt;&gt;"",COUNTIF('Fall FD - players'!$B$2:$B$65,"="&amp;Table2[[#This Row],[tee time5]]),"")</f>
        <v/>
      </c>
      <c r="AD139" s="59" t="str">
        <f>_xlfn.IFNA(VLOOKUP(Table2[[#This Row],[tee time5]],'Fall FD - groups'!$A$3:$F$20,6,FALSE),"")</f>
        <v/>
      </c>
      <c r="AE139" s="4" t="str">
        <f>_xlfn.IFNA(VLOOKUP(Table2[[#This Row],[tee time5]],'Fall FD - groups'!$A$3:$F$20,4,FALSE),"")</f>
        <v/>
      </c>
      <c r="AF139" s="13" t="str">
        <f>IFERROR(MIN(_xlfn.IFNA(VLOOKUP(Table2[[#This Row],[tee time5]],'Fall FD - groups'!$A$3:$F$20,5,FALSE),""),starting_interval + Table2[[#This Row],[round5]] - standard_round_time),"")</f>
        <v/>
      </c>
      <c r="AG139" s="69" t="str">
        <f>IF(AND(Table2[[#This Row],[gap5]]="NA",Table2[[#This Row],[round5]]&lt;4/24),0,IFERROR((MAX(starting_interval,IF(Table2[[#This Row],[gap5]]="NA",Table2[[#This Row],[avg gap]],Table2[[#This Row],[gap5]]))-starting_interval)*Table2[[#This Row],[followers5]]/Table2[[#This Row],[group size5]],""))</f>
        <v/>
      </c>
      <c r="AH139" s="32" t="str">
        <f>_xlfn.IFNA(VLOOKUP(Table2[[#This Row],[Name]],'Stableford - players'!$A$2:$B$65,2,FALSE),"")</f>
        <v/>
      </c>
      <c r="AI139" s="59" t="str">
        <f>IF(Table2[[#This Row],[tee time6]]&lt;&gt;"",COUNTIF('Stableford - players'!$B$2:$B$65,"="&amp;Table2[[#This Row],[tee time6]]),"")</f>
        <v/>
      </c>
      <c r="AJ139" s="59" t="str">
        <f>_xlfn.IFNA(VLOOKUP(Table2[[#This Row],[tee time6]],'Stableford - groups'!$A$3:$F$20,6,FALSE),"")</f>
        <v/>
      </c>
      <c r="AK139" s="11" t="str">
        <f>_xlfn.IFNA(VLOOKUP(Table2[[#This Row],[tee time6]],'Stableford - groups'!$A$3:$F$20,4,FALSE),"")</f>
        <v/>
      </c>
      <c r="AL139" s="13" t="str">
        <f>_xlfn.IFNA(VLOOKUP(Table2[[#This Row],[tee time6]],'Stableford - groups'!$A$3:$F$20,5,FALSE),"")</f>
        <v/>
      </c>
      <c r="AM139" s="68" t="str">
        <f>IF(AND(Table2[[#This Row],[gap6]]="NA",Table2[[#This Row],[round6]]&lt;4/24),0,IFERROR((MAX(starting_interval,IF(Table2[[#This Row],[gap6]]="NA",Table2[[#This Row],[avg gap]],Table2[[#This Row],[gap6]]))-starting_interval)*Table2[[#This Row],[followers6]]/Table2[[#This Row],[group size6]],""))</f>
        <v/>
      </c>
      <c r="AN139" s="32">
        <f>_xlfn.IFNA(VLOOKUP(Table2[[#This Row],[Name]],'Turkey Shoot - players'!$A$2:$B$65,2,FALSE),"")</f>
        <v>0.4236111111111111</v>
      </c>
      <c r="AO139" s="59">
        <f>IF(Table2[[#This Row],[tee time7]]&lt;&gt;"",COUNTIF('Turkey Shoot - players'!$B$2:$B$65,"="&amp;Table2[[#This Row],[tee time7]]),"")</f>
        <v>4</v>
      </c>
      <c r="AP139" s="59">
        <f>_xlfn.IFNA(VLOOKUP(Table2[[#This Row],[tee time7]],'Stableford - groups'!$A$3:$F$20,6,FALSE),"")</f>
        <v>8</v>
      </c>
      <c r="AQ139" s="11">
        <f>_xlfn.IFNA(VLOOKUP(Table2[[#This Row],[tee time7]],'Turkey Shoot - groups'!$A$3:$F$20,4,FALSE),"")</f>
        <v>0.17777777777777776</v>
      </c>
      <c r="AR139" s="13">
        <f>_xlfn.IFNA(VLOOKUP(Table2[[#This Row],[tee time7]],'Turkey Shoot - groups'!$A$3:$F$20,5,FALSE),"")</f>
        <v>3.472222222222222E-3</v>
      </c>
      <c r="AS139" s="68">
        <f>IF(AND(Table2[[#This Row],[gap7]]="NA",Table2[[#This Row],[round7]]&lt;4/24),0,IFERROR((MAX(starting_interval,IF(Table2[[#This Row],[gap7]]="NA",Table2[[#This Row],[avg gap]],Table2[[#This Row],[gap7]]))-starting_interval)*Table2[[#This Row],[followers7]]/Table2[[#This Row],[group size7]],""))</f>
        <v>0</v>
      </c>
      <c r="AT139" s="72">
        <f>COUNT(Table2[[#This Row],[Tee time1]],Table2[[#This Row],[tee time2]],Table2[[#This Row],[tee time3]],Table2[[#This Row],[tee time4]],Table2[[#This Row],[tee time5]],Table2[[#This Row],[tee time6]],Table2[[#This Row],[tee time7]])</f>
        <v>1</v>
      </c>
      <c r="AU139" s="4">
        <f>IFERROR(AVERAGE(Table2[[#This Row],[Tee time1]],Table2[[#This Row],[tee time2]],Table2[[#This Row],[tee time3]],Table2[[#This Row],[tee time4]],Table2[[#This Row],[tee time5]],Table2[[#This Row],[tee time6]],Table2[[#This Row],[tee time7]]),"")</f>
        <v>0.4236111111111111</v>
      </c>
      <c r="AV139" s="11">
        <f>IFERROR(MEDIAN(Table2[[#This Row],[round1]],Table2[[#This Row],[Round2]],Table2[[#This Row],[round3]],Table2[[#This Row],[round4]],Table2[[#This Row],[round5]],Table2[[#This Row],[round6]],Table2[[#This Row],[round7]]),"")</f>
        <v>0.17777777777777776</v>
      </c>
      <c r="AW139" s="11">
        <f>IFERROR(AVERAGE(Table2[[#This Row],[gap1]],Table2[[#This Row],[gap2]],Table2[[#This Row],[gap3]],Table2[[#This Row],[gap4]],Table2[[#This Row],[gap5]],Table2[[#This Row],[gap6]],Table2[[#This Row],[gap7]]),"")</f>
        <v>3.472222222222222E-3</v>
      </c>
      <c r="AX139" s="9">
        <f>IFERROR((Table2[[#This Row],[avg gap]]-starting_interval)*24*60*Table2[[#This Row],[Count]],"NA")</f>
        <v>-5</v>
      </c>
      <c r="AY13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39" s="2"/>
    </row>
    <row r="140" spans="1:52" x14ac:dyDescent="0.3">
      <c r="A140" s="10" t="s">
        <v>11</v>
      </c>
      <c r="B140" s="1" t="s">
        <v>249</v>
      </c>
      <c r="C140" s="19">
        <v>5.4</v>
      </c>
      <c r="D140" s="32" t="str">
        <f>_xlfn.IFNA(VLOOKUP(Table2[[#This Row],[Name]],'Classic day 1 - players'!$A$2:$B$64,2,FALSE),"")</f>
        <v/>
      </c>
      <c r="E140" s="33" t="str">
        <f>IF(Table2[[#This Row],[Tee time1]]&lt;&gt;"",COUNTIF('Classic day 1 - players'!$B$2:$B$64,"="&amp;Table2[[#This Row],[Tee time1]]),"")</f>
        <v/>
      </c>
      <c r="F140" s="4" t="str">
        <f>_xlfn.IFNA(VLOOKUP(Table2[[#This Row],[Tee time1]],'Classic day 1 - groups'!$A$3:$F$20,6,FALSE),"")</f>
        <v/>
      </c>
      <c r="G140" s="11" t="str">
        <f>_xlfn.IFNA(VLOOKUP(Table2[[#This Row],[Tee time1]],'Classic day 1 - groups'!$A$3:$F$20,4,FALSE),"")</f>
        <v/>
      </c>
      <c r="H140" s="12" t="str">
        <f>_xlfn.IFNA(VLOOKUP(Table2[[#This Row],[Tee time1]],'Classic day 1 - groups'!$A$3:$F$20,5,FALSE),"")</f>
        <v/>
      </c>
      <c r="I140" s="69" t="str">
        <f>IFERROR((MAX(starting_interval,IF(Table2[[#This Row],[gap1]]="NA",Table2[[#This Row],[avg gap]],Table2[[#This Row],[gap1]]))-starting_interval)*Table2[[#This Row],[followers1]]/Table2[[#This Row],[group size]],"")</f>
        <v/>
      </c>
      <c r="J140" s="32" t="str">
        <f>_xlfn.IFNA(VLOOKUP(Table2[[#This Row],[Name]],'Classic day 2 - players'!$A$2:$B$64,2,FALSE),"")</f>
        <v/>
      </c>
      <c r="K140" s="4" t="str">
        <f>IF(Table2[[#This Row],[tee time2]]&lt;&gt;"",COUNTIF('Classic day 2 - players'!$B$2:$B$64,"="&amp;Table2[[#This Row],[tee time2]]),"")</f>
        <v/>
      </c>
      <c r="L140" s="4" t="str">
        <f>_xlfn.IFNA(VLOOKUP(Table2[[#This Row],[tee time2]],'Classic day 2 - groups'!$A$3:$F$20,6,FALSE),"")</f>
        <v/>
      </c>
      <c r="M140" s="4" t="str">
        <f>_xlfn.IFNA(VLOOKUP(Table2[[#This Row],[tee time2]],'Classic day 2 - groups'!$A$3:$F$20,4,FALSE),"")</f>
        <v/>
      </c>
      <c r="N140" s="65" t="str">
        <f>_xlfn.IFNA(VLOOKUP(Table2[[#This Row],[tee time2]],'Classic day 2 - groups'!$A$3:$F$20,5,FALSE),"")</f>
        <v/>
      </c>
      <c r="O140" s="69" t="str">
        <f>IFERROR((MAX(starting_interval,IF(Table2[[#This Row],[gap2]]="NA",Table2[[#This Row],[avg gap]],Table2[[#This Row],[gap2]]))-starting_interval)*Table2[[#This Row],[followers2]]/Table2[[#This Row],[group size2]],"")</f>
        <v/>
      </c>
      <c r="P140" s="32" t="str">
        <f>_xlfn.IFNA(VLOOKUP(Table2[[#This Row],[Name]],'Summer FD - players'!$A$2:$B$65,2,FALSE),"")</f>
        <v/>
      </c>
      <c r="Q140" s="59" t="str">
        <f>IF(Table2[[#This Row],[tee time3]]&lt;&gt;"",COUNTIF('Summer FD - players'!$B$2:$B$65,"="&amp;Table2[[#This Row],[tee time3]]),"")</f>
        <v/>
      </c>
      <c r="R140" s="59" t="str">
        <f>_xlfn.IFNA(VLOOKUP(Table2[[#This Row],[tee time3]],'Summer FD - groups'!$A$3:$F$20,6,FALSE),"")</f>
        <v/>
      </c>
      <c r="S140" s="4" t="str">
        <f>_xlfn.IFNA(VLOOKUP(Table2[[#This Row],[tee time3]],'Summer FD - groups'!$A$3:$F$20,4,FALSE),"")</f>
        <v/>
      </c>
      <c r="T140" s="13" t="str">
        <f>_xlfn.IFNA(VLOOKUP(Table2[[#This Row],[tee time3]],'Summer FD - groups'!$A$3:$F$20,5,FALSE),"")</f>
        <v/>
      </c>
      <c r="U140" s="69" t="str">
        <f>IF(Table2[[#This Row],[avg gap]]&lt;&gt;"",IFERROR((MAX(starting_interval,IF(Table2[[#This Row],[gap3]]="NA",Table2[[#This Row],[avg gap]],Table2[[#This Row],[gap3]]))-starting_interval)*Table2[[#This Row],[followers3]]/Table2[[#This Row],[group size3]],""),"")</f>
        <v/>
      </c>
      <c r="V140" s="32" t="str">
        <f>_xlfn.IFNA(VLOOKUP(Table2[[#This Row],[Name]],'6-6-6 - players'!$A$2:$B$69,2,FALSE),"")</f>
        <v/>
      </c>
      <c r="W140" s="59" t="str">
        <f>IF(Table2[[#This Row],[tee time4]]&lt;&gt;"",COUNTIF('6-6-6 - players'!$B$2:$B$69,"="&amp;Table2[[#This Row],[tee time4]]),"")</f>
        <v/>
      </c>
      <c r="X140" s="59" t="str">
        <f>_xlfn.IFNA(VLOOKUP(Table2[[#This Row],[tee time4]],'6-6-6 - groups'!$A$3:$F$20,6,FALSE),"")</f>
        <v/>
      </c>
      <c r="Y140" s="4" t="str">
        <f>_xlfn.IFNA(VLOOKUP(Table2[[#This Row],[tee time4]],'6-6-6 - groups'!$A$3:$F$20,4,FALSE),"")</f>
        <v/>
      </c>
      <c r="Z140" s="13" t="str">
        <f>_xlfn.IFNA(VLOOKUP(Table2[[#This Row],[tee time4]],'6-6-6 - groups'!$A$3:$F$20,5,FALSE),"")</f>
        <v/>
      </c>
      <c r="AA140" s="69" t="str">
        <f>IF(Table2[[#This Row],[avg gap]]&lt;&gt;"",IFERROR((MAX(starting_interval,IF(Table2[[#This Row],[gap4]]="NA",Table2[[#This Row],[avg gap]],Table2[[#This Row],[gap4]]))-starting_interval)*Table2[[#This Row],[followers4]]/Table2[[#This Row],[group size4]],""),"")</f>
        <v/>
      </c>
      <c r="AB140" s="32" t="str">
        <f>_xlfn.IFNA(VLOOKUP(Table2[[#This Row],[Name]],'Fall FD - players'!$A$2:$B$65,2,FALSE),"")</f>
        <v/>
      </c>
      <c r="AC140" s="59" t="str">
        <f>IF(Table2[[#This Row],[tee time5]]&lt;&gt;"",COUNTIF('Fall FD - players'!$B$2:$B$65,"="&amp;Table2[[#This Row],[tee time5]]),"")</f>
        <v/>
      </c>
      <c r="AD140" s="59" t="str">
        <f>_xlfn.IFNA(VLOOKUP(Table2[[#This Row],[tee time5]],'Fall FD - groups'!$A$3:$F$20,6,FALSE),"")</f>
        <v/>
      </c>
      <c r="AE140" s="4" t="str">
        <f>_xlfn.IFNA(VLOOKUP(Table2[[#This Row],[tee time5]],'Fall FD - groups'!$A$3:$F$20,4,FALSE),"")</f>
        <v/>
      </c>
      <c r="AF140" s="13" t="str">
        <f>IFERROR(MIN(_xlfn.IFNA(VLOOKUP(Table2[[#This Row],[tee time5]],'Fall FD - groups'!$A$3:$F$20,5,FALSE),""),starting_interval + Table2[[#This Row],[round5]] - standard_round_time),"")</f>
        <v/>
      </c>
      <c r="AG140" s="69" t="str">
        <f>IF(AND(Table2[[#This Row],[gap5]]="NA",Table2[[#This Row],[round5]]&lt;4/24),0,IFERROR((MAX(starting_interval,IF(Table2[[#This Row],[gap5]]="NA",Table2[[#This Row],[avg gap]],Table2[[#This Row],[gap5]]))-starting_interval)*Table2[[#This Row],[followers5]]/Table2[[#This Row],[group size5]],""))</f>
        <v/>
      </c>
      <c r="AH140" s="32" t="str">
        <f>_xlfn.IFNA(VLOOKUP(Table2[[#This Row],[Name]],'Stableford - players'!$A$2:$B$65,2,FALSE),"")</f>
        <v/>
      </c>
      <c r="AI140" s="59" t="str">
        <f>IF(Table2[[#This Row],[tee time6]]&lt;&gt;"",COUNTIF('Stableford - players'!$B$2:$B$65,"="&amp;Table2[[#This Row],[tee time6]]),"")</f>
        <v/>
      </c>
      <c r="AJ140" s="59" t="str">
        <f>_xlfn.IFNA(VLOOKUP(Table2[[#This Row],[tee time6]],'Stableford - groups'!$A$3:$F$20,6,FALSE),"")</f>
        <v/>
      </c>
      <c r="AK140" s="11" t="str">
        <f>_xlfn.IFNA(VLOOKUP(Table2[[#This Row],[tee time6]],'Stableford - groups'!$A$3:$F$20,4,FALSE),"")</f>
        <v/>
      </c>
      <c r="AL140" s="13" t="str">
        <f>_xlfn.IFNA(VLOOKUP(Table2[[#This Row],[tee time6]],'Stableford - groups'!$A$3:$F$20,5,FALSE),"")</f>
        <v/>
      </c>
      <c r="AM140" s="68" t="str">
        <f>IF(AND(Table2[[#This Row],[gap6]]="NA",Table2[[#This Row],[round6]]&lt;4/24),0,IFERROR((MAX(starting_interval,IF(Table2[[#This Row],[gap6]]="NA",Table2[[#This Row],[avg gap]],Table2[[#This Row],[gap6]]))-starting_interval)*Table2[[#This Row],[followers6]]/Table2[[#This Row],[group size6]],""))</f>
        <v/>
      </c>
      <c r="AN140" s="32">
        <f>_xlfn.IFNA(VLOOKUP(Table2[[#This Row],[Name]],'Turkey Shoot - players'!$A$2:$B$65,2,FALSE),"")</f>
        <v>0.4236111111111111</v>
      </c>
      <c r="AO140" s="59">
        <f>IF(Table2[[#This Row],[tee time7]]&lt;&gt;"",COUNTIF('Turkey Shoot - players'!$B$2:$B$65,"="&amp;Table2[[#This Row],[tee time7]]),"")</f>
        <v>4</v>
      </c>
      <c r="AP140" s="59">
        <f>_xlfn.IFNA(VLOOKUP(Table2[[#This Row],[tee time7]],'Stableford - groups'!$A$3:$F$20,6,FALSE),"")</f>
        <v>8</v>
      </c>
      <c r="AQ140" s="11">
        <f>_xlfn.IFNA(VLOOKUP(Table2[[#This Row],[tee time7]],'Turkey Shoot - groups'!$A$3:$F$20,4,FALSE),"")</f>
        <v>0.17777777777777776</v>
      </c>
      <c r="AR140" s="13">
        <f>_xlfn.IFNA(VLOOKUP(Table2[[#This Row],[tee time7]],'Turkey Shoot - groups'!$A$3:$F$20,5,FALSE),"")</f>
        <v>3.472222222222222E-3</v>
      </c>
      <c r="AS140" s="68">
        <f>IF(AND(Table2[[#This Row],[gap7]]="NA",Table2[[#This Row],[round7]]&lt;4/24),0,IFERROR((MAX(starting_interval,IF(Table2[[#This Row],[gap7]]="NA",Table2[[#This Row],[avg gap]],Table2[[#This Row],[gap7]]))-starting_interval)*Table2[[#This Row],[followers7]]/Table2[[#This Row],[group size7]],""))</f>
        <v>0</v>
      </c>
      <c r="AT140" s="72">
        <f>COUNT(Table2[[#This Row],[Tee time1]],Table2[[#This Row],[tee time2]],Table2[[#This Row],[tee time3]],Table2[[#This Row],[tee time4]],Table2[[#This Row],[tee time5]],Table2[[#This Row],[tee time6]],Table2[[#This Row],[tee time7]])</f>
        <v>1</v>
      </c>
      <c r="AU140" s="4">
        <f>IFERROR(AVERAGE(Table2[[#This Row],[Tee time1]],Table2[[#This Row],[tee time2]],Table2[[#This Row],[tee time3]],Table2[[#This Row],[tee time4]],Table2[[#This Row],[tee time5]],Table2[[#This Row],[tee time6]],Table2[[#This Row],[tee time7]]),"")</f>
        <v>0.4236111111111111</v>
      </c>
      <c r="AV140" s="11">
        <f>IFERROR(MEDIAN(Table2[[#This Row],[round1]],Table2[[#This Row],[Round2]],Table2[[#This Row],[round3]],Table2[[#This Row],[round4]],Table2[[#This Row],[round5]],Table2[[#This Row],[round6]],Table2[[#This Row],[round7]]),"")</f>
        <v>0.17777777777777776</v>
      </c>
      <c r="AW140" s="11">
        <f>IFERROR(AVERAGE(Table2[[#This Row],[gap1]],Table2[[#This Row],[gap2]],Table2[[#This Row],[gap3]],Table2[[#This Row],[gap4]],Table2[[#This Row],[gap5]],Table2[[#This Row],[gap6]],Table2[[#This Row],[gap7]]),"")</f>
        <v>3.472222222222222E-3</v>
      </c>
      <c r="AX140" s="9">
        <f>IFERROR((Table2[[#This Row],[avg gap]]-starting_interval)*24*60*Table2[[#This Row],[Count]],"NA")</f>
        <v>-5</v>
      </c>
      <c r="AY14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40" s="2"/>
    </row>
    <row r="141" spans="1:52" hidden="1" x14ac:dyDescent="0.3">
      <c r="A141" s="10" t="s">
        <v>16</v>
      </c>
      <c r="B141" s="1" t="s">
        <v>254</v>
      </c>
      <c r="C141" s="19">
        <v>4.5999999999999996</v>
      </c>
      <c r="D141" s="32" t="str">
        <f>_xlfn.IFNA(VLOOKUP(Table2[[#This Row],[Name]],'Classic day 1 - players'!$A$2:$B$64,2,FALSE),"")</f>
        <v/>
      </c>
      <c r="E141" s="33" t="str">
        <f>IF(Table2[[#This Row],[Tee time1]]&lt;&gt;"",COUNTIF('Classic day 1 - players'!$B$2:$B$64,"="&amp;Table2[[#This Row],[Tee time1]]),"")</f>
        <v/>
      </c>
      <c r="F141" s="4" t="str">
        <f>_xlfn.IFNA(VLOOKUP(Table2[[#This Row],[Tee time1]],'Classic day 1 - groups'!$A$3:$F$20,6,FALSE),"")</f>
        <v/>
      </c>
      <c r="G141" s="11" t="str">
        <f>_xlfn.IFNA(VLOOKUP(Table2[[#This Row],[Tee time1]],'Classic day 1 - groups'!$A$3:$F$20,4,FALSE),"")</f>
        <v/>
      </c>
      <c r="H141" s="12" t="str">
        <f>_xlfn.IFNA(VLOOKUP(Table2[[#This Row],[Tee time1]],'Classic day 1 - groups'!$A$3:$F$20,5,FALSE),"")</f>
        <v/>
      </c>
      <c r="I141" s="69" t="str">
        <f>IFERROR((MAX(starting_interval,IF(Table2[[#This Row],[gap1]]="NA",Table2[[#This Row],[avg gap]],Table2[[#This Row],[gap1]]))-starting_interval)*Table2[[#This Row],[followers1]]/Table2[[#This Row],[group size]],"")</f>
        <v/>
      </c>
      <c r="J141" s="32" t="str">
        <f>_xlfn.IFNA(VLOOKUP(Table2[[#This Row],[Name]],'Classic day 2 - players'!$A$2:$B$64,2,FALSE),"")</f>
        <v/>
      </c>
      <c r="K141" s="4" t="str">
        <f>IF(Table2[[#This Row],[tee time2]]&lt;&gt;"",COUNTIF('Classic day 2 - players'!$B$2:$B$64,"="&amp;Table2[[#This Row],[tee time2]]),"")</f>
        <v/>
      </c>
      <c r="L141" s="4" t="str">
        <f>_xlfn.IFNA(VLOOKUP(Table2[[#This Row],[tee time2]],'Classic day 2 - groups'!$A$3:$F$20,6,FALSE),"")</f>
        <v/>
      </c>
      <c r="M141" s="4" t="str">
        <f>_xlfn.IFNA(VLOOKUP(Table2[[#This Row],[tee time2]],'Classic day 2 - groups'!$A$3:$F$20,4,FALSE),"")</f>
        <v/>
      </c>
      <c r="N141" s="65" t="str">
        <f>_xlfn.IFNA(VLOOKUP(Table2[[#This Row],[tee time2]],'Classic day 2 - groups'!$A$3:$F$20,5,FALSE),"")</f>
        <v/>
      </c>
      <c r="O141" s="69" t="str">
        <f>IFERROR((MAX(starting_interval,IF(Table2[[#This Row],[gap2]]="NA",Table2[[#This Row],[avg gap]],Table2[[#This Row],[gap2]]))-starting_interval)*Table2[[#This Row],[followers2]]/Table2[[#This Row],[group size2]],"")</f>
        <v/>
      </c>
      <c r="P141" s="32" t="str">
        <f>_xlfn.IFNA(VLOOKUP(Table2[[#This Row],[Name]],'Summer FD - players'!$A$2:$B$65,2,FALSE),"")</f>
        <v/>
      </c>
      <c r="Q141" s="59" t="str">
        <f>IF(Table2[[#This Row],[tee time3]]&lt;&gt;"",COUNTIF('Summer FD - players'!$B$2:$B$65,"="&amp;Table2[[#This Row],[tee time3]]),"")</f>
        <v/>
      </c>
      <c r="R141" s="59" t="str">
        <f>_xlfn.IFNA(VLOOKUP(Table2[[#This Row],[tee time3]],'Summer FD - groups'!$A$3:$F$20,6,FALSE),"")</f>
        <v/>
      </c>
      <c r="S141" s="4" t="str">
        <f>_xlfn.IFNA(VLOOKUP(Table2[[#This Row],[tee time3]],'Summer FD - groups'!$A$3:$F$20,4,FALSE),"")</f>
        <v/>
      </c>
      <c r="T141" s="13" t="str">
        <f>_xlfn.IFNA(VLOOKUP(Table2[[#This Row],[tee time3]],'Summer FD - groups'!$A$3:$F$20,5,FALSE),"")</f>
        <v/>
      </c>
      <c r="U141" s="69" t="str">
        <f>IF(Table2[[#This Row],[avg gap]]&lt;&gt;"",IFERROR((MAX(starting_interval,IF(Table2[[#This Row],[gap3]]="NA",Table2[[#This Row],[avg gap]],Table2[[#This Row],[gap3]]))-starting_interval)*Table2[[#This Row],[followers3]]/Table2[[#This Row],[group size3]],""),"")</f>
        <v/>
      </c>
      <c r="V141" s="32" t="str">
        <f>_xlfn.IFNA(VLOOKUP(Table2[[#This Row],[Name]],'6-6-6 - players'!$A$2:$B$69,2,FALSE),"")</f>
        <v/>
      </c>
      <c r="W141" s="59" t="str">
        <f>IF(Table2[[#This Row],[tee time4]]&lt;&gt;"",COUNTIF('6-6-6 - players'!$B$2:$B$69,"="&amp;Table2[[#This Row],[tee time4]]),"")</f>
        <v/>
      </c>
      <c r="X141" s="59" t="str">
        <f>_xlfn.IFNA(VLOOKUP(Table2[[#This Row],[tee time4]],'6-6-6 - groups'!$A$3:$F$20,6,FALSE),"")</f>
        <v/>
      </c>
      <c r="Y141" s="4" t="str">
        <f>_xlfn.IFNA(VLOOKUP(Table2[[#This Row],[tee time4]],'6-6-6 - groups'!$A$3:$F$20,4,FALSE),"")</f>
        <v/>
      </c>
      <c r="Z141" s="13" t="str">
        <f>_xlfn.IFNA(VLOOKUP(Table2[[#This Row],[tee time4]],'6-6-6 - groups'!$A$3:$F$20,5,FALSE),"")</f>
        <v/>
      </c>
      <c r="AA141" s="69" t="str">
        <f>IF(Table2[[#This Row],[avg gap]]&lt;&gt;"",IFERROR((MAX(starting_interval,IF(Table2[[#This Row],[gap4]]="NA",Table2[[#This Row],[avg gap]],Table2[[#This Row],[gap4]]))-starting_interval)*Table2[[#This Row],[followers4]]/Table2[[#This Row],[group size4]],""),"")</f>
        <v/>
      </c>
      <c r="AB141" s="32" t="str">
        <f>_xlfn.IFNA(VLOOKUP(Table2[[#This Row],[Name]],'Fall FD - players'!$A$2:$B$65,2,FALSE),"")</f>
        <v/>
      </c>
      <c r="AC141" s="59" t="str">
        <f>IF(Table2[[#This Row],[tee time5]]&lt;&gt;"",COUNTIF('Fall FD - players'!$B$2:$B$65,"="&amp;Table2[[#This Row],[tee time5]]),"")</f>
        <v/>
      </c>
      <c r="AD141" s="59" t="str">
        <f>_xlfn.IFNA(VLOOKUP(Table2[[#This Row],[tee time5]],'Fall FD - groups'!$A$3:$F$20,6,FALSE),"")</f>
        <v/>
      </c>
      <c r="AE141" s="4" t="str">
        <f>_xlfn.IFNA(VLOOKUP(Table2[[#This Row],[tee time5]],'Fall FD - groups'!$A$3:$F$20,4,FALSE),"")</f>
        <v/>
      </c>
      <c r="AF141" s="13" t="str">
        <f>IFERROR(MIN(_xlfn.IFNA(VLOOKUP(Table2[[#This Row],[tee time5]],'Fall FD - groups'!$A$3:$F$20,5,FALSE),""),starting_interval + Table2[[#This Row],[round5]] - standard_round_time),"")</f>
        <v/>
      </c>
      <c r="AG141" s="69" t="str">
        <f>IF(AND(Table2[[#This Row],[gap5]]="NA",Table2[[#This Row],[round5]]&lt;4/24),0,IFERROR((MAX(starting_interval,IF(Table2[[#This Row],[gap5]]="NA",Table2[[#This Row],[avg gap]],Table2[[#This Row],[gap5]]))-starting_interval)*Table2[[#This Row],[followers5]]/Table2[[#This Row],[group size5]],""))</f>
        <v/>
      </c>
      <c r="AH141" s="32" t="str">
        <f>_xlfn.IFNA(VLOOKUP(Table2[[#This Row],[Name]],'Stableford - players'!$A$2:$B$65,2,FALSE),"")</f>
        <v/>
      </c>
      <c r="AI141" s="59" t="str">
        <f>IF(Table2[[#This Row],[tee time6]]&lt;&gt;"",COUNTIF('Stableford - players'!$B$2:$B$65,"="&amp;Table2[[#This Row],[tee time6]]),"")</f>
        <v/>
      </c>
      <c r="AJ141" s="59" t="str">
        <f>_xlfn.IFNA(VLOOKUP(Table2[[#This Row],[tee time6]],'Stableford - groups'!$A$3:$F$20,6,FALSE),"")</f>
        <v/>
      </c>
      <c r="AK141" s="11" t="str">
        <f>_xlfn.IFNA(VLOOKUP(Table2[[#This Row],[tee time6]],'Stableford - groups'!$A$3:$F$20,4,FALSE),"")</f>
        <v/>
      </c>
      <c r="AL141" s="13" t="str">
        <f>_xlfn.IFNA(VLOOKUP(Table2[[#This Row],[tee time6]],'Stableford - groups'!$A$3:$F$20,5,FALSE),"")</f>
        <v/>
      </c>
      <c r="AM141" s="68" t="str">
        <f>IF(AND(Table2[[#This Row],[gap6]]="NA",Table2[[#This Row],[round6]]&lt;4/24),0,IFERROR((MAX(starting_interval,IF(Table2[[#This Row],[gap6]]="NA",Table2[[#This Row],[avg gap]],Table2[[#This Row],[gap6]]))-starting_interval)*Table2[[#This Row],[followers6]]/Table2[[#This Row],[group size6]],""))</f>
        <v/>
      </c>
      <c r="AN141" s="32" t="str">
        <f>_xlfn.IFNA(VLOOKUP(Table2[[#This Row],[Name]],'Turkey Shoot - players'!$A$2:$B$65,2,FALSE),"")</f>
        <v/>
      </c>
      <c r="AO141" s="59" t="str">
        <f>IF(Table2[[#This Row],[tee time7]]&lt;&gt;"",COUNTIF('Turkey Shoot - players'!$B$2:$B$65,"="&amp;Table2[[#This Row],[tee time7]]),"")</f>
        <v/>
      </c>
      <c r="AP141" s="59" t="str">
        <f>_xlfn.IFNA(VLOOKUP(Table2[[#This Row],[tee time7]],'Stableford - groups'!$A$3:$F$20,6,FALSE),"")</f>
        <v/>
      </c>
      <c r="AQ141" s="11" t="str">
        <f>_xlfn.IFNA(VLOOKUP(Table2[[#This Row],[tee time7]],'Turkey Shoot - groups'!$A$3:$F$20,4,FALSE),"")</f>
        <v/>
      </c>
      <c r="AR141" s="13" t="str">
        <f>_xlfn.IFNA(VLOOKUP(Table2[[#This Row],[tee time7]],'Turkey Shoot - groups'!$A$3:$F$20,5,FALSE),"")</f>
        <v/>
      </c>
      <c r="AS141" s="68" t="str">
        <f>IF(AND(Table2[[#This Row],[gap7]]="NA",Table2[[#This Row],[round7]]&lt;4/24),0,IFERROR((MAX(starting_interval,IF(Table2[[#This Row],[gap7]]="NA",Table2[[#This Row],[avg gap]],Table2[[#This Row],[gap7]]))-starting_interval)*Table2[[#This Row],[followers7]]/Table2[[#This Row],[group size7]],""))</f>
        <v/>
      </c>
      <c r="AT141" s="72">
        <f>COUNT(Table2[[#This Row],[Tee time1]],Table2[[#This Row],[tee time2]],Table2[[#This Row],[tee time3]],Table2[[#This Row],[tee time4]],Table2[[#This Row],[tee time5]],Table2[[#This Row],[tee time6]],Table2[[#This Row],[tee time7]])</f>
        <v>0</v>
      </c>
      <c r="AU141" s="4" t="str">
        <f>IFERROR(AVERAGE(Table2[[#This Row],[Tee time1]],Table2[[#This Row],[tee time2]],Table2[[#This Row],[tee time3]],Table2[[#This Row],[tee time4]],Table2[[#This Row],[tee time5]],Table2[[#This Row],[tee time6]],Table2[[#This Row],[tee time7]]),"")</f>
        <v/>
      </c>
      <c r="AV141" s="11" t="str">
        <f>IFERROR(MEDIAN(Table2[[#This Row],[round1]],Table2[[#This Row],[Round2]],Table2[[#This Row],[round3]],Table2[[#This Row],[round4]],Table2[[#This Row],[round5]],Table2[[#This Row],[round6]],Table2[[#This Row],[round7]]),"")</f>
        <v/>
      </c>
      <c r="AW141" s="11" t="str">
        <f>IFERROR(AVERAGE(Table2[[#This Row],[gap1]],Table2[[#This Row],[gap2]],Table2[[#This Row],[gap3]],Table2[[#This Row],[gap4]],Table2[[#This Row],[gap5]],Table2[[#This Row],[gap6]],Table2[[#This Row],[gap7]]),"")</f>
        <v/>
      </c>
      <c r="AX141" s="9" t="str">
        <f>IFERROR((Table2[[#This Row],[avg gap]]-starting_interval)*24*60*Table2[[#This Row],[Count]],"NA")</f>
        <v>NA</v>
      </c>
      <c r="AY141"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41" s="2"/>
    </row>
    <row r="142" spans="1:52" hidden="1" x14ac:dyDescent="0.3">
      <c r="A142" s="10" t="s">
        <v>19</v>
      </c>
      <c r="B142" s="1" t="s">
        <v>257</v>
      </c>
      <c r="C142" s="19">
        <v>10.4</v>
      </c>
      <c r="D142" s="32" t="str">
        <f>_xlfn.IFNA(VLOOKUP(Table2[[#This Row],[Name]],'Classic day 1 - players'!$A$2:$B$64,2,FALSE),"")</f>
        <v/>
      </c>
      <c r="E142" s="33" t="str">
        <f>IF(Table2[[#This Row],[Tee time1]]&lt;&gt;"",COUNTIF('Classic day 1 - players'!$B$2:$B$64,"="&amp;Table2[[#This Row],[Tee time1]]),"")</f>
        <v/>
      </c>
      <c r="F142" s="4" t="str">
        <f>_xlfn.IFNA(VLOOKUP(Table2[[#This Row],[Tee time1]],'Classic day 1 - groups'!$A$3:$F$20,6,FALSE),"")</f>
        <v/>
      </c>
      <c r="G142" s="11" t="str">
        <f>_xlfn.IFNA(VLOOKUP(Table2[[#This Row],[Tee time1]],'Classic day 1 - groups'!$A$3:$F$20,4,FALSE),"")</f>
        <v/>
      </c>
      <c r="H142" s="12" t="str">
        <f>_xlfn.IFNA(VLOOKUP(Table2[[#This Row],[Tee time1]],'Classic day 1 - groups'!$A$3:$F$20,5,FALSE),"")</f>
        <v/>
      </c>
      <c r="I142" s="69" t="str">
        <f>IFERROR((MAX(starting_interval,IF(Table2[[#This Row],[gap1]]="NA",Table2[[#This Row],[avg gap]],Table2[[#This Row],[gap1]]))-starting_interval)*Table2[[#This Row],[followers1]]/Table2[[#This Row],[group size]],"")</f>
        <v/>
      </c>
      <c r="J142" s="32" t="str">
        <f>_xlfn.IFNA(VLOOKUP(Table2[[#This Row],[Name]],'Classic day 2 - players'!$A$2:$B$64,2,FALSE),"")</f>
        <v/>
      </c>
      <c r="K142" s="4" t="str">
        <f>IF(Table2[[#This Row],[tee time2]]&lt;&gt;"",COUNTIF('Classic day 2 - players'!$B$2:$B$64,"="&amp;Table2[[#This Row],[tee time2]]),"")</f>
        <v/>
      </c>
      <c r="L142" s="4" t="str">
        <f>_xlfn.IFNA(VLOOKUP(Table2[[#This Row],[tee time2]],'Classic day 2 - groups'!$A$3:$F$20,6,FALSE),"")</f>
        <v/>
      </c>
      <c r="M142" s="4" t="str">
        <f>_xlfn.IFNA(VLOOKUP(Table2[[#This Row],[tee time2]],'Classic day 2 - groups'!$A$3:$F$20,4,FALSE),"")</f>
        <v/>
      </c>
      <c r="N142" s="65" t="str">
        <f>_xlfn.IFNA(VLOOKUP(Table2[[#This Row],[tee time2]],'Classic day 2 - groups'!$A$3:$F$20,5,FALSE),"")</f>
        <v/>
      </c>
      <c r="O142" s="69" t="str">
        <f>IFERROR((MAX(starting_interval,IF(Table2[[#This Row],[gap2]]="NA",Table2[[#This Row],[avg gap]],Table2[[#This Row],[gap2]]))-starting_interval)*Table2[[#This Row],[followers2]]/Table2[[#This Row],[group size2]],"")</f>
        <v/>
      </c>
      <c r="P142" s="32" t="str">
        <f>_xlfn.IFNA(VLOOKUP(Table2[[#This Row],[Name]],'Summer FD - players'!$A$2:$B$65,2,FALSE),"")</f>
        <v/>
      </c>
      <c r="Q142" s="59" t="str">
        <f>IF(Table2[[#This Row],[tee time3]]&lt;&gt;"",COUNTIF('Summer FD - players'!$B$2:$B$65,"="&amp;Table2[[#This Row],[tee time3]]),"")</f>
        <v/>
      </c>
      <c r="R142" s="59" t="str">
        <f>_xlfn.IFNA(VLOOKUP(Table2[[#This Row],[tee time3]],'Summer FD - groups'!$A$3:$F$20,6,FALSE),"")</f>
        <v/>
      </c>
      <c r="S142" s="4" t="str">
        <f>_xlfn.IFNA(VLOOKUP(Table2[[#This Row],[tee time3]],'Summer FD - groups'!$A$3:$F$20,4,FALSE),"")</f>
        <v/>
      </c>
      <c r="T142" s="13" t="str">
        <f>_xlfn.IFNA(VLOOKUP(Table2[[#This Row],[tee time3]],'Summer FD - groups'!$A$3:$F$20,5,FALSE),"")</f>
        <v/>
      </c>
      <c r="U142" s="69" t="str">
        <f>IF(Table2[[#This Row],[avg gap]]&lt;&gt;"",IFERROR((MAX(starting_interval,IF(Table2[[#This Row],[gap3]]="NA",Table2[[#This Row],[avg gap]],Table2[[#This Row],[gap3]]))-starting_interval)*Table2[[#This Row],[followers3]]/Table2[[#This Row],[group size3]],""),"")</f>
        <v/>
      </c>
      <c r="V142" s="32" t="str">
        <f>_xlfn.IFNA(VLOOKUP(Table2[[#This Row],[Name]],'6-6-6 - players'!$A$2:$B$69,2,FALSE),"")</f>
        <v/>
      </c>
      <c r="W142" s="59" t="str">
        <f>IF(Table2[[#This Row],[tee time4]]&lt;&gt;"",COUNTIF('6-6-6 - players'!$B$2:$B$69,"="&amp;Table2[[#This Row],[tee time4]]),"")</f>
        <v/>
      </c>
      <c r="X142" s="59" t="str">
        <f>_xlfn.IFNA(VLOOKUP(Table2[[#This Row],[tee time4]],'6-6-6 - groups'!$A$3:$F$20,6,FALSE),"")</f>
        <v/>
      </c>
      <c r="Y142" s="4" t="str">
        <f>_xlfn.IFNA(VLOOKUP(Table2[[#This Row],[tee time4]],'6-6-6 - groups'!$A$3:$F$20,4,FALSE),"")</f>
        <v/>
      </c>
      <c r="Z142" s="13" t="str">
        <f>_xlfn.IFNA(VLOOKUP(Table2[[#This Row],[tee time4]],'6-6-6 - groups'!$A$3:$F$20,5,FALSE),"")</f>
        <v/>
      </c>
      <c r="AA142" s="69" t="str">
        <f>IF(Table2[[#This Row],[avg gap]]&lt;&gt;"",IFERROR((MAX(starting_interval,IF(Table2[[#This Row],[gap4]]="NA",Table2[[#This Row],[avg gap]],Table2[[#This Row],[gap4]]))-starting_interval)*Table2[[#This Row],[followers4]]/Table2[[#This Row],[group size4]],""),"")</f>
        <v/>
      </c>
      <c r="AB142" s="32" t="str">
        <f>_xlfn.IFNA(VLOOKUP(Table2[[#This Row],[Name]],'Fall FD - players'!$A$2:$B$65,2,FALSE),"")</f>
        <v/>
      </c>
      <c r="AC142" s="59" t="str">
        <f>IF(Table2[[#This Row],[tee time5]]&lt;&gt;"",COUNTIF('Fall FD - players'!$B$2:$B$65,"="&amp;Table2[[#This Row],[tee time5]]),"")</f>
        <v/>
      </c>
      <c r="AD142" s="59" t="str">
        <f>_xlfn.IFNA(VLOOKUP(Table2[[#This Row],[tee time5]],'Fall FD - groups'!$A$3:$F$20,6,FALSE),"")</f>
        <v/>
      </c>
      <c r="AE142" s="4" t="str">
        <f>_xlfn.IFNA(VLOOKUP(Table2[[#This Row],[tee time5]],'Fall FD - groups'!$A$3:$F$20,4,FALSE),"")</f>
        <v/>
      </c>
      <c r="AF142" s="13" t="str">
        <f>IFERROR(MIN(_xlfn.IFNA(VLOOKUP(Table2[[#This Row],[tee time5]],'Fall FD - groups'!$A$3:$F$20,5,FALSE),""),starting_interval + Table2[[#This Row],[round5]] - standard_round_time),"")</f>
        <v/>
      </c>
      <c r="AG142" s="69" t="str">
        <f>IF(AND(Table2[[#This Row],[gap5]]="NA",Table2[[#This Row],[round5]]&lt;4/24),0,IFERROR((MAX(starting_interval,IF(Table2[[#This Row],[gap5]]="NA",Table2[[#This Row],[avg gap]],Table2[[#This Row],[gap5]]))-starting_interval)*Table2[[#This Row],[followers5]]/Table2[[#This Row],[group size5]],""))</f>
        <v/>
      </c>
      <c r="AH142" s="32" t="str">
        <f>_xlfn.IFNA(VLOOKUP(Table2[[#This Row],[Name]],'Stableford - players'!$A$2:$B$65,2,FALSE),"")</f>
        <v/>
      </c>
      <c r="AI142" s="59" t="str">
        <f>IF(Table2[[#This Row],[tee time6]]&lt;&gt;"",COUNTIF('Stableford - players'!$B$2:$B$65,"="&amp;Table2[[#This Row],[tee time6]]),"")</f>
        <v/>
      </c>
      <c r="AJ142" s="59" t="str">
        <f>_xlfn.IFNA(VLOOKUP(Table2[[#This Row],[tee time6]],'Stableford - groups'!$A$3:$F$20,6,FALSE),"")</f>
        <v/>
      </c>
      <c r="AK142" s="11" t="str">
        <f>_xlfn.IFNA(VLOOKUP(Table2[[#This Row],[tee time6]],'Stableford - groups'!$A$3:$F$20,4,FALSE),"")</f>
        <v/>
      </c>
      <c r="AL142" s="13" t="str">
        <f>_xlfn.IFNA(VLOOKUP(Table2[[#This Row],[tee time6]],'Stableford - groups'!$A$3:$F$20,5,FALSE),"")</f>
        <v/>
      </c>
      <c r="AM142" s="68" t="str">
        <f>IF(AND(Table2[[#This Row],[gap6]]="NA",Table2[[#This Row],[round6]]&lt;4/24),0,IFERROR((MAX(starting_interval,IF(Table2[[#This Row],[gap6]]="NA",Table2[[#This Row],[avg gap]],Table2[[#This Row],[gap6]]))-starting_interval)*Table2[[#This Row],[followers6]]/Table2[[#This Row],[group size6]],""))</f>
        <v/>
      </c>
      <c r="AN142" s="32" t="str">
        <f>_xlfn.IFNA(VLOOKUP(Table2[[#This Row],[Name]],'Turkey Shoot - players'!$A$2:$B$65,2,FALSE),"")</f>
        <v/>
      </c>
      <c r="AO142" s="59" t="str">
        <f>IF(Table2[[#This Row],[tee time7]]&lt;&gt;"",COUNTIF('Turkey Shoot - players'!$B$2:$B$65,"="&amp;Table2[[#This Row],[tee time7]]),"")</f>
        <v/>
      </c>
      <c r="AP142" s="59" t="str">
        <f>_xlfn.IFNA(VLOOKUP(Table2[[#This Row],[tee time7]],'Stableford - groups'!$A$3:$F$20,6,FALSE),"")</f>
        <v/>
      </c>
      <c r="AQ142" s="11" t="str">
        <f>_xlfn.IFNA(VLOOKUP(Table2[[#This Row],[tee time7]],'Turkey Shoot - groups'!$A$3:$F$20,4,FALSE),"")</f>
        <v/>
      </c>
      <c r="AR142" s="13" t="str">
        <f>_xlfn.IFNA(VLOOKUP(Table2[[#This Row],[tee time7]],'Turkey Shoot - groups'!$A$3:$F$20,5,FALSE),"")</f>
        <v/>
      </c>
      <c r="AS142" s="68" t="str">
        <f>IF(AND(Table2[[#This Row],[gap7]]="NA",Table2[[#This Row],[round7]]&lt;4/24),0,IFERROR((MAX(starting_interval,IF(Table2[[#This Row],[gap7]]="NA",Table2[[#This Row],[avg gap]],Table2[[#This Row],[gap7]]))-starting_interval)*Table2[[#This Row],[followers7]]/Table2[[#This Row],[group size7]],""))</f>
        <v/>
      </c>
      <c r="AT142" s="72">
        <f>COUNT(Table2[[#This Row],[Tee time1]],Table2[[#This Row],[tee time2]],Table2[[#This Row],[tee time3]],Table2[[#This Row],[tee time4]],Table2[[#This Row],[tee time5]],Table2[[#This Row],[tee time6]],Table2[[#This Row],[tee time7]])</f>
        <v>0</v>
      </c>
      <c r="AU142" s="4" t="str">
        <f>IFERROR(AVERAGE(Table2[[#This Row],[Tee time1]],Table2[[#This Row],[tee time2]],Table2[[#This Row],[tee time3]],Table2[[#This Row],[tee time4]],Table2[[#This Row],[tee time5]],Table2[[#This Row],[tee time6]],Table2[[#This Row],[tee time7]]),"")</f>
        <v/>
      </c>
      <c r="AV142" s="11" t="str">
        <f>IFERROR(MEDIAN(Table2[[#This Row],[round1]],Table2[[#This Row],[Round2]],Table2[[#This Row],[round3]],Table2[[#This Row],[round4]],Table2[[#This Row],[round5]],Table2[[#This Row],[round6]],Table2[[#This Row],[round7]]),"")</f>
        <v/>
      </c>
      <c r="AW142" s="11" t="str">
        <f>IFERROR(AVERAGE(Table2[[#This Row],[gap1]],Table2[[#This Row],[gap2]],Table2[[#This Row],[gap3]],Table2[[#This Row],[gap4]],Table2[[#This Row],[gap5]],Table2[[#This Row],[gap6]],Table2[[#This Row],[gap7]]),"")</f>
        <v/>
      </c>
      <c r="AX142" s="9" t="str">
        <f>IFERROR((Table2[[#This Row],[avg gap]]-starting_interval)*24*60*Table2[[#This Row],[Count]],"NA")</f>
        <v>NA</v>
      </c>
      <c r="AY142"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42" s="2"/>
    </row>
    <row r="143" spans="1:52" hidden="1" x14ac:dyDescent="0.3">
      <c r="A143" s="10" t="s">
        <v>22</v>
      </c>
      <c r="B143" s="1" t="s">
        <v>260</v>
      </c>
      <c r="C143" s="19">
        <v>15.6</v>
      </c>
      <c r="D143" s="32" t="str">
        <f>_xlfn.IFNA(VLOOKUP(Table2[[#This Row],[Name]],'Classic day 1 - players'!$A$2:$B$64,2,FALSE),"")</f>
        <v/>
      </c>
      <c r="E143" s="33" t="str">
        <f>IF(Table2[[#This Row],[Tee time1]]&lt;&gt;"",COUNTIF('Classic day 1 - players'!$B$2:$B$64,"="&amp;Table2[[#This Row],[Tee time1]]),"")</f>
        <v/>
      </c>
      <c r="F143" s="4" t="str">
        <f>_xlfn.IFNA(VLOOKUP(Table2[[#This Row],[Tee time1]],'Classic day 1 - groups'!$A$3:$F$20,6,FALSE),"")</f>
        <v/>
      </c>
      <c r="G143" s="11" t="str">
        <f>_xlfn.IFNA(VLOOKUP(Table2[[#This Row],[Tee time1]],'Classic day 1 - groups'!$A$3:$F$20,4,FALSE),"")</f>
        <v/>
      </c>
      <c r="H143" s="12" t="str">
        <f>_xlfn.IFNA(VLOOKUP(Table2[[#This Row],[Tee time1]],'Classic day 1 - groups'!$A$3:$F$20,5,FALSE),"")</f>
        <v/>
      </c>
      <c r="I143" s="69" t="str">
        <f>IFERROR((MAX(starting_interval,IF(Table2[[#This Row],[gap1]]="NA",Table2[[#This Row],[avg gap]],Table2[[#This Row],[gap1]]))-starting_interval)*Table2[[#This Row],[followers1]]/Table2[[#This Row],[group size]],"")</f>
        <v/>
      </c>
      <c r="J143" s="32" t="str">
        <f>_xlfn.IFNA(VLOOKUP(Table2[[#This Row],[Name]],'Classic day 2 - players'!$A$2:$B$64,2,FALSE),"")</f>
        <v/>
      </c>
      <c r="K143" s="4" t="str">
        <f>IF(Table2[[#This Row],[tee time2]]&lt;&gt;"",COUNTIF('Classic day 2 - players'!$B$2:$B$64,"="&amp;Table2[[#This Row],[tee time2]]),"")</f>
        <v/>
      </c>
      <c r="L143" s="4" t="str">
        <f>_xlfn.IFNA(VLOOKUP(Table2[[#This Row],[tee time2]],'Classic day 2 - groups'!$A$3:$F$20,6,FALSE),"")</f>
        <v/>
      </c>
      <c r="M143" s="4" t="str">
        <f>_xlfn.IFNA(VLOOKUP(Table2[[#This Row],[tee time2]],'Classic day 2 - groups'!$A$3:$F$20,4,FALSE),"")</f>
        <v/>
      </c>
      <c r="N143" s="65" t="str">
        <f>_xlfn.IFNA(VLOOKUP(Table2[[#This Row],[tee time2]],'Classic day 2 - groups'!$A$3:$F$20,5,FALSE),"")</f>
        <v/>
      </c>
      <c r="O143" s="69" t="str">
        <f>IFERROR((MAX(starting_interval,IF(Table2[[#This Row],[gap2]]="NA",Table2[[#This Row],[avg gap]],Table2[[#This Row],[gap2]]))-starting_interval)*Table2[[#This Row],[followers2]]/Table2[[#This Row],[group size2]],"")</f>
        <v/>
      </c>
      <c r="P143" s="32" t="str">
        <f>_xlfn.IFNA(VLOOKUP(Table2[[#This Row],[Name]],'Summer FD - players'!$A$2:$B$65,2,FALSE),"")</f>
        <v/>
      </c>
      <c r="Q143" s="59" t="str">
        <f>IF(Table2[[#This Row],[tee time3]]&lt;&gt;"",COUNTIF('Summer FD - players'!$B$2:$B$65,"="&amp;Table2[[#This Row],[tee time3]]),"")</f>
        <v/>
      </c>
      <c r="R143" s="59" t="str">
        <f>_xlfn.IFNA(VLOOKUP(Table2[[#This Row],[tee time3]],'Summer FD - groups'!$A$3:$F$20,6,FALSE),"")</f>
        <v/>
      </c>
      <c r="S143" s="4" t="str">
        <f>_xlfn.IFNA(VLOOKUP(Table2[[#This Row],[tee time3]],'Summer FD - groups'!$A$3:$F$20,4,FALSE),"")</f>
        <v/>
      </c>
      <c r="T143" s="13" t="str">
        <f>_xlfn.IFNA(VLOOKUP(Table2[[#This Row],[tee time3]],'Summer FD - groups'!$A$3:$F$20,5,FALSE),"")</f>
        <v/>
      </c>
      <c r="U143" s="69" t="str">
        <f>IF(Table2[[#This Row],[avg gap]]&lt;&gt;"",IFERROR((MAX(starting_interval,IF(Table2[[#This Row],[gap3]]="NA",Table2[[#This Row],[avg gap]],Table2[[#This Row],[gap3]]))-starting_interval)*Table2[[#This Row],[followers3]]/Table2[[#This Row],[group size3]],""),"")</f>
        <v/>
      </c>
      <c r="V143" s="32" t="str">
        <f>_xlfn.IFNA(VLOOKUP(Table2[[#This Row],[Name]],'6-6-6 - players'!$A$2:$B$69,2,FALSE),"")</f>
        <v/>
      </c>
      <c r="W143" s="59" t="str">
        <f>IF(Table2[[#This Row],[tee time4]]&lt;&gt;"",COUNTIF('6-6-6 - players'!$B$2:$B$69,"="&amp;Table2[[#This Row],[tee time4]]),"")</f>
        <v/>
      </c>
      <c r="X143" s="59" t="str">
        <f>_xlfn.IFNA(VLOOKUP(Table2[[#This Row],[tee time4]],'6-6-6 - groups'!$A$3:$F$20,6,FALSE),"")</f>
        <v/>
      </c>
      <c r="Y143" s="4" t="str">
        <f>_xlfn.IFNA(VLOOKUP(Table2[[#This Row],[tee time4]],'6-6-6 - groups'!$A$3:$F$20,4,FALSE),"")</f>
        <v/>
      </c>
      <c r="Z143" s="13" t="str">
        <f>_xlfn.IFNA(VLOOKUP(Table2[[#This Row],[tee time4]],'6-6-6 - groups'!$A$3:$F$20,5,FALSE),"")</f>
        <v/>
      </c>
      <c r="AA143" s="69" t="str">
        <f>IF(Table2[[#This Row],[avg gap]]&lt;&gt;"",IFERROR((MAX(starting_interval,IF(Table2[[#This Row],[gap4]]="NA",Table2[[#This Row],[avg gap]],Table2[[#This Row],[gap4]]))-starting_interval)*Table2[[#This Row],[followers4]]/Table2[[#This Row],[group size4]],""),"")</f>
        <v/>
      </c>
      <c r="AB143" s="32" t="str">
        <f>_xlfn.IFNA(VLOOKUP(Table2[[#This Row],[Name]],'Fall FD - players'!$A$2:$B$65,2,FALSE),"")</f>
        <v/>
      </c>
      <c r="AC143" s="59" t="str">
        <f>IF(Table2[[#This Row],[tee time5]]&lt;&gt;"",COUNTIF('Fall FD - players'!$B$2:$B$65,"="&amp;Table2[[#This Row],[tee time5]]),"")</f>
        <v/>
      </c>
      <c r="AD143" s="59" t="str">
        <f>_xlfn.IFNA(VLOOKUP(Table2[[#This Row],[tee time5]],'Fall FD - groups'!$A$3:$F$20,6,FALSE),"")</f>
        <v/>
      </c>
      <c r="AE143" s="4" t="str">
        <f>_xlfn.IFNA(VLOOKUP(Table2[[#This Row],[tee time5]],'Fall FD - groups'!$A$3:$F$20,4,FALSE),"")</f>
        <v/>
      </c>
      <c r="AF143" s="13" t="str">
        <f>IFERROR(MIN(_xlfn.IFNA(VLOOKUP(Table2[[#This Row],[tee time5]],'Fall FD - groups'!$A$3:$F$20,5,FALSE),""),starting_interval + Table2[[#This Row],[round5]] - standard_round_time),"")</f>
        <v/>
      </c>
      <c r="AG143" s="69" t="str">
        <f>IF(AND(Table2[[#This Row],[gap5]]="NA",Table2[[#This Row],[round5]]&lt;4/24),0,IFERROR((MAX(starting_interval,IF(Table2[[#This Row],[gap5]]="NA",Table2[[#This Row],[avg gap]],Table2[[#This Row],[gap5]]))-starting_interval)*Table2[[#This Row],[followers5]]/Table2[[#This Row],[group size5]],""))</f>
        <v/>
      </c>
      <c r="AH143" s="32" t="str">
        <f>_xlfn.IFNA(VLOOKUP(Table2[[#This Row],[Name]],'Stableford - players'!$A$2:$B$65,2,FALSE),"")</f>
        <v/>
      </c>
      <c r="AI143" s="59" t="str">
        <f>IF(Table2[[#This Row],[tee time6]]&lt;&gt;"",COUNTIF('Stableford - players'!$B$2:$B$65,"="&amp;Table2[[#This Row],[tee time6]]),"")</f>
        <v/>
      </c>
      <c r="AJ143" s="59" t="str">
        <f>_xlfn.IFNA(VLOOKUP(Table2[[#This Row],[tee time6]],'Stableford - groups'!$A$3:$F$20,6,FALSE),"")</f>
        <v/>
      </c>
      <c r="AK143" s="11" t="str">
        <f>_xlfn.IFNA(VLOOKUP(Table2[[#This Row],[tee time6]],'Stableford - groups'!$A$3:$F$20,4,FALSE),"")</f>
        <v/>
      </c>
      <c r="AL143" s="13" t="str">
        <f>_xlfn.IFNA(VLOOKUP(Table2[[#This Row],[tee time6]],'Stableford - groups'!$A$3:$F$20,5,FALSE),"")</f>
        <v/>
      </c>
      <c r="AM143" s="68" t="str">
        <f>IF(AND(Table2[[#This Row],[gap6]]="NA",Table2[[#This Row],[round6]]&lt;4/24),0,IFERROR((MAX(starting_interval,IF(Table2[[#This Row],[gap6]]="NA",Table2[[#This Row],[avg gap]],Table2[[#This Row],[gap6]]))-starting_interval)*Table2[[#This Row],[followers6]]/Table2[[#This Row],[group size6]],""))</f>
        <v/>
      </c>
      <c r="AN143" s="32" t="str">
        <f>_xlfn.IFNA(VLOOKUP(Table2[[#This Row],[Name]],'Turkey Shoot - players'!$A$2:$B$65,2,FALSE),"")</f>
        <v/>
      </c>
      <c r="AO143" s="59" t="str">
        <f>IF(Table2[[#This Row],[tee time7]]&lt;&gt;"",COUNTIF('Turkey Shoot - players'!$B$2:$B$65,"="&amp;Table2[[#This Row],[tee time7]]),"")</f>
        <v/>
      </c>
      <c r="AP143" s="59" t="str">
        <f>_xlfn.IFNA(VLOOKUP(Table2[[#This Row],[tee time7]],'Stableford - groups'!$A$3:$F$20,6,FALSE),"")</f>
        <v/>
      </c>
      <c r="AQ143" s="11" t="str">
        <f>_xlfn.IFNA(VLOOKUP(Table2[[#This Row],[tee time7]],'Turkey Shoot - groups'!$A$3:$F$20,4,FALSE),"")</f>
        <v/>
      </c>
      <c r="AR143" s="13" t="str">
        <f>_xlfn.IFNA(VLOOKUP(Table2[[#This Row],[tee time7]],'Turkey Shoot - groups'!$A$3:$F$20,5,FALSE),"")</f>
        <v/>
      </c>
      <c r="AS143" s="68" t="str">
        <f>IF(AND(Table2[[#This Row],[gap7]]="NA",Table2[[#This Row],[round7]]&lt;4/24),0,IFERROR((MAX(starting_interval,IF(Table2[[#This Row],[gap7]]="NA",Table2[[#This Row],[avg gap]],Table2[[#This Row],[gap7]]))-starting_interval)*Table2[[#This Row],[followers7]]/Table2[[#This Row],[group size7]],""))</f>
        <v/>
      </c>
      <c r="AT143" s="72">
        <f>COUNT(Table2[[#This Row],[Tee time1]],Table2[[#This Row],[tee time2]],Table2[[#This Row],[tee time3]],Table2[[#This Row],[tee time4]],Table2[[#This Row],[tee time5]],Table2[[#This Row],[tee time6]],Table2[[#This Row],[tee time7]])</f>
        <v>0</v>
      </c>
      <c r="AU143" s="4" t="str">
        <f>IFERROR(AVERAGE(Table2[[#This Row],[Tee time1]],Table2[[#This Row],[tee time2]],Table2[[#This Row],[tee time3]],Table2[[#This Row],[tee time4]],Table2[[#This Row],[tee time5]],Table2[[#This Row],[tee time6]],Table2[[#This Row],[tee time7]]),"")</f>
        <v/>
      </c>
      <c r="AV143" s="11" t="str">
        <f>IFERROR(MEDIAN(Table2[[#This Row],[round1]],Table2[[#This Row],[Round2]],Table2[[#This Row],[round3]],Table2[[#This Row],[round4]],Table2[[#This Row],[round5]],Table2[[#This Row],[round6]],Table2[[#This Row],[round7]]),"")</f>
        <v/>
      </c>
      <c r="AW143" s="11" t="str">
        <f>IFERROR(AVERAGE(Table2[[#This Row],[gap1]],Table2[[#This Row],[gap2]],Table2[[#This Row],[gap3]],Table2[[#This Row],[gap4]],Table2[[#This Row],[gap5]],Table2[[#This Row],[gap6]],Table2[[#This Row],[gap7]]),"")</f>
        <v/>
      </c>
      <c r="AX143" s="9" t="str">
        <f>IFERROR((Table2[[#This Row],[avg gap]]-starting_interval)*24*60*Table2[[#This Row],[Count]],"NA")</f>
        <v>NA</v>
      </c>
      <c r="AY143"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43" s="2"/>
    </row>
    <row r="144" spans="1:52" hidden="1" x14ac:dyDescent="0.3">
      <c r="A144" s="10" t="s">
        <v>24</v>
      </c>
      <c r="B144" s="1" t="s">
        <v>262</v>
      </c>
      <c r="C144" s="19">
        <v>14.1</v>
      </c>
      <c r="D144" s="32" t="str">
        <f>_xlfn.IFNA(VLOOKUP(Table2[[#This Row],[Name]],'Classic day 1 - players'!$A$2:$B$64,2,FALSE),"")</f>
        <v/>
      </c>
      <c r="E144" s="33" t="str">
        <f>IF(Table2[[#This Row],[Tee time1]]&lt;&gt;"",COUNTIF('Classic day 1 - players'!$B$2:$B$64,"="&amp;Table2[[#This Row],[Tee time1]]),"")</f>
        <v/>
      </c>
      <c r="F144" s="4" t="str">
        <f>_xlfn.IFNA(VLOOKUP(Table2[[#This Row],[Tee time1]],'Classic day 1 - groups'!$A$3:$F$20,6,FALSE),"")</f>
        <v/>
      </c>
      <c r="G144" s="11" t="str">
        <f>_xlfn.IFNA(VLOOKUP(Table2[[#This Row],[Tee time1]],'Classic day 1 - groups'!$A$3:$F$20,4,FALSE),"")</f>
        <v/>
      </c>
      <c r="H144" s="12" t="str">
        <f>_xlfn.IFNA(VLOOKUP(Table2[[#This Row],[Tee time1]],'Classic day 1 - groups'!$A$3:$F$20,5,FALSE),"")</f>
        <v/>
      </c>
      <c r="I144" s="69" t="str">
        <f>IFERROR((MAX(starting_interval,IF(Table2[[#This Row],[gap1]]="NA",Table2[[#This Row],[avg gap]],Table2[[#This Row],[gap1]]))-starting_interval)*Table2[[#This Row],[followers1]]/Table2[[#This Row],[group size]],"")</f>
        <v/>
      </c>
      <c r="J144" s="32" t="str">
        <f>_xlfn.IFNA(VLOOKUP(Table2[[#This Row],[Name]],'Classic day 2 - players'!$A$2:$B$64,2,FALSE),"")</f>
        <v/>
      </c>
      <c r="K144" s="4" t="str">
        <f>IF(Table2[[#This Row],[tee time2]]&lt;&gt;"",COUNTIF('Classic day 2 - players'!$B$2:$B$64,"="&amp;Table2[[#This Row],[tee time2]]),"")</f>
        <v/>
      </c>
      <c r="L144" s="4" t="str">
        <f>_xlfn.IFNA(VLOOKUP(Table2[[#This Row],[tee time2]],'Classic day 2 - groups'!$A$3:$F$20,6,FALSE),"")</f>
        <v/>
      </c>
      <c r="M144" s="4" t="str">
        <f>_xlfn.IFNA(VLOOKUP(Table2[[#This Row],[tee time2]],'Classic day 2 - groups'!$A$3:$F$20,4,FALSE),"")</f>
        <v/>
      </c>
      <c r="N144" s="65" t="str">
        <f>_xlfn.IFNA(VLOOKUP(Table2[[#This Row],[tee time2]],'Classic day 2 - groups'!$A$3:$F$20,5,FALSE),"")</f>
        <v/>
      </c>
      <c r="O144" s="69" t="str">
        <f>IFERROR((MAX(starting_interval,IF(Table2[[#This Row],[gap2]]="NA",Table2[[#This Row],[avg gap]],Table2[[#This Row],[gap2]]))-starting_interval)*Table2[[#This Row],[followers2]]/Table2[[#This Row],[group size2]],"")</f>
        <v/>
      </c>
      <c r="P144" s="32" t="str">
        <f>_xlfn.IFNA(VLOOKUP(Table2[[#This Row],[Name]],'Summer FD - players'!$A$2:$B$65,2,FALSE),"")</f>
        <v/>
      </c>
      <c r="Q144" s="59" t="str">
        <f>IF(Table2[[#This Row],[tee time3]]&lt;&gt;"",COUNTIF('Summer FD - players'!$B$2:$B$65,"="&amp;Table2[[#This Row],[tee time3]]),"")</f>
        <v/>
      </c>
      <c r="R144" s="59" t="str">
        <f>_xlfn.IFNA(VLOOKUP(Table2[[#This Row],[tee time3]],'Summer FD - groups'!$A$3:$F$20,6,FALSE),"")</f>
        <v/>
      </c>
      <c r="S144" s="4" t="str">
        <f>_xlfn.IFNA(VLOOKUP(Table2[[#This Row],[tee time3]],'Summer FD - groups'!$A$3:$F$20,4,FALSE),"")</f>
        <v/>
      </c>
      <c r="T144" s="13" t="str">
        <f>_xlfn.IFNA(VLOOKUP(Table2[[#This Row],[tee time3]],'Summer FD - groups'!$A$3:$F$20,5,FALSE),"")</f>
        <v/>
      </c>
      <c r="U144" s="69" t="str">
        <f>IF(Table2[[#This Row],[avg gap]]&lt;&gt;"",IFERROR((MAX(starting_interval,IF(Table2[[#This Row],[gap3]]="NA",Table2[[#This Row],[avg gap]],Table2[[#This Row],[gap3]]))-starting_interval)*Table2[[#This Row],[followers3]]/Table2[[#This Row],[group size3]],""),"")</f>
        <v/>
      </c>
      <c r="V144" s="32" t="str">
        <f>_xlfn.IFNA(VLOOKUP(Table2[[#This Row],[Name]],'6-6-6 - players'!$A$2:$B$69,2,FALSE),"")</f>
        <v/>
      </c>
      <c r="W144" s="59" t="str">
        <f>IF(Table2[[#This Row],[tee time4]]&lt;&gt;"",COUNTIF('6-6-6 - players'!$B$2:$B$69,"="&amp;Table2[[#This Row],[tee time4]]),"")</f>
        <v/>
      </c>
      <c r="X144" s="59" t="str">
        <f>_xlfn.IFNA(VLOOKUP(Table2[[#This Row],[tee time4]],'6-6-6 - groups'!$A$3:$F$20,6,FALSE),"")</f>
        <v/>
      </c>
      <c r="Y144" s="4" t="str">
        <f>_xlfn.IFNA(VLOOKUP(Table2[[#This Row],[tee time4]],'6-6-6 - groups'!$A$3:$F$20,4,FALSE),"")</f>
        <v/>
      </c>
      <c r="Z144" s="13" t="str">
        <f>_xlfn.IFNA(VLOOKUP(Table2[[#This Row],[tee time4]],'6-6-6 - groups'!$A$3:$F$20,5,FALSE),"")</f>
        <v/>
      </c>
      <c r="AA144" s="69" t="str">
        <f>IF(Table2[[#This Row],[avg gap]]&lt;&gt;"",IFERROR((MAX(starting_interval,IF(Table2[[#This Row],[gap4]]="NA",Table2[[#This Row],[avg gap]],Table2[[#This Row],[gap4]]))-starting_interval)*Table2[[#This Row],[followers4]]/Table2[[#This Row],[group size4]],""),"")</f>
        <v/>
      </c>
      <c r="AB144" s="32" t="str">
        <f>_xlfn.IFNA(VLOOKUP(Table2[[#This Row],[Name]],'Fall FD - players'!$A$2:$B$65,2,FALSE),"")</f>
        <v/>
      </c>
      <c r="AC144" s="59" t="str">
        <f>IF(Table2[[#This Row],[tee time5]]&lt;&gt;"",COUNTIF('Fall FD - players'!$B$2:$B$65,"="&amp;Table2[[#This Row],[tee time5]]),"")</f>
        <v/>
      </c>
      <c r="AD144" s="59" t="str">
        <f>_xlfn.IFNA(VLOOKUP(Table2[[#This Row],[tee time5]],'Fall FD - groups'!$A$3:$F$20,6,FALSE),"")</f>
        <v/>
      </c>
      <c r="AE144" s="4" t="str">
        <f>_xlfn.IFNA(VLOOKUP(Table2[[#This Row],[tee time5]],'Fall FD - groups'!$A$3:$F$20,4,FALSE),"")</f>
        <v/>
      </c>
      <c r="AF144" s="13" t="str">
        <f>IFERROR(MIN(_xlfn.IFNA(VLOOKUP(Table2[[#This Row],[tee time5]],'Fall FD - groups'!$A$3:$F$20,5,FALSE),""),starting_interval + Table2[[#This Row],[round5]] - standard_round_time),"")</f>
        <v/>
      </c>
      <c r="AG144" s="69" t="str">
        <f>IF(AND(Table2[[#This Row],[gap5]]="NA",Table2[[#This Row],[round5]]&lt;4/24),0,IFERROR((MAX(starting_interval,IF(Table2[[#This Row],[gap5]]="NA",Table2[[#This Row],[avg gap]],Table2[[#This Row],[gap5]]))-starting_interval)*Table2[[#This Row],[followers5]]/Table2[[#This Row],[group size5]],""))</f>
        <v/>
      </c>
      <c r="AH144" s="32" t="str">
        <f>_xlfn.IFNA(VLOOKUP(Table2[[#This Row],[Name]],'Stableford - players'!$A$2:$B$65,2,FALSE),"")</f>
        <v/>
      </c>
      <c r="AI144" s="59" t="str">
        <f>IF(Table2[[#This Row],[tee time6]]&lt;&gt;"",COUNTIF('Stableford - players'!$B$2:$B$65,"="&amp;Table2[[#This Row],[tee time6]]),"")</f>
        <v/>
      </c>
      <c r="AJ144" s="59" t="str">
        <f>_xlfn.IFNA(VLOOKUP(Table2[[#This Row],[tee time6]],'Stableford - groups'!$A$3:$F$20,6,FALSE),"")</f>
        <v/>
      </c>
      <c r="AK144" s="11" t="str">
        <f>_xlfn.IFNA(VLOOKUP(Table2[[#This Row],[tee time6]],'Stableford - groups'!$A$3:$F$20,4,FALSE),"")</f>
        <v/>
      </c>
      <c r="AL144" s="13" t="str">
        <f>_xlfn.IFNA(VLOOKUP(Table2[[#This Row],[tee time6]],'Stableford - groups'!$A$3:$F$20,5,FALSE),"")</f>
        <v/>
      </c>
      <c r="AM144" s="68" t="str">
        <f>IF(AND(Table2[[#This Row],[gap6]]="NA",Table2[[#This Row],[round6]]&lt;4/24),0,IFERROR((MAX(starting_interval,IF(Table2[[#This Row],[gap6]]="NA",Table2[[#This Row],[avg gap]],Table2[[#This Row],[gap6]]))-starting_interval)*Table2[[#This Row],[followers6]]/Table2[[#This Row],[group size6]],""))</f>
        <v/>
      </c>
      <c r="AN144" s="32" t="str">
        <f>_xlfn.IFNA(VLOOKUP(Table2[[#This Row],[Name]],'Turkey Shoot - players'!$A$2:$B$65,2,FALSE),"")</f>
        <v/>
      </c>
      <c r="AO144" s="59" t="str">
        <f>IF(Table2[[#This Row],[tee time7]]&lt;&gt;"",COUNTIF('Turkey Shoot - players'!$B$2:$B$65,"="&amp;Table2[[#This Row],[tee time7]]),"")</f>
        <v/>
      </c>
      <c r="AP144" s="59" t="str">
        <f>_xlfn.IFNA(VLOOKUP(Table2[[#This Row],[tee time7]],'Stableford - groups'!$A$3:$F$20,6,FALSE),"")</f>
        <v/>
      </c>
      <c r="AQ144" s="11" t="str">
        <f>_xlfn.IFNA(VLOOKUP(Table2[[#This Row],[tee time7]],'Turkey Shoot - groups'!$A$3:$F$20,4,FALSE),"")</f>
        <v/>
      </c>
      <c r="AR144" s="13" t="str">
        <f>_xlfn.IFNA(VLOOKUP(Table2[[#This Row],[tee time7]],'Turkey Shoot - groups'!$A$3:$F$20,5,FALSE),"")</f>
        <v/>
      </c>
      <c r="AS144" s="68" t="str">
        <f>IF(AND(Table2[[#This Row],[gap7]]="NA",Table2[[#This Row],[round7]]&lt;4/24),0,IFERROR((MAX(starting_interval,IF(Table2[[#This Row],[gap7]]="NA",Table2[[#This Row],[avg gap]],Table2[[#This Row],[gap7]]))-starting_interval)*Table2[[#This Row],[followers7]]/Table2[[#This Row],[group size7]],""))</f>
        <v/>
      </c>
      <c r="AT144" s="72">
        <f>COUNT(Table2[[#This Row],[Tee time1]],Table2[[#This Row],[tee time2]],Table2[[#This Row],[tee time3]],Table2[[#This Row],[tee time4]],Table2[[#This Row],[tee time5]],Table2[[#This Row],[tee time6]],Table2[[#This Row],[tee time7]])</f>
        <v>0</v>
      </c>
      <c r="AU144" s="4" t="str">
        <f>IFERROR(AVERAGE(Table2[[#This Row],[Tee time1]],Table2[[#This Row],[tee time2]],Table2[[#This Row],[tee time3]],Table2[[#This Row],[tee time4]],Table2[[#This Row],[tee time5]],Table2[[#This Row],[tee time6]],Table2[[#This Row],[tee time7]]),"")</f>
        <v/>
      </c>
      <c r="AV144" s="11" t="str">
        <f>IFERROR(MEDIAN(Table2[[#This Row],[round1]],Table2[[#This Row],[Round2]],Table2[[#This Row],[round3]],Table2[[#This Row],[round4]],Table2[[#This Row],[round5]],Table2[[#This Row],[round6]],Table2[[#This Row],[round7]]),"")</f>
        <v/>
      </c>
      <c r="AW144" s="11" t="str">
        <f>IFERROR(AVERAGE(Table2[[#This Row],[gap1]],Table2[[#This Row],[gap2]],Table2[[#This Row],[gap3]],Table2[[#This Row],[gap4]],Table2[[#This Row],[gap5]],Table2[[#This Row],[gap6]],Table2[[#This Row],[gap7]]),"")</f>
        <v/>
      </c>
      <c r="AX144" s="9" t="str">
        <f>IFERROR((Table2[[#This Row],[avg gap]]-starting_interval)*24*60*Table2[[#This Row],[Count]],"NA")</f>
        <v>NA</v>
      </c>
      <c r="AY144"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44" s="2"/>
    </row>
    <row r="145" spans="1:52" hidden="1" x14ac:dyDescent="0.3">
      <c r="A145" s="10" t="s">
        <v>26</v>
      </c>
      <c r="B145" s="1" t="s">
        <v>264</v>
      </c>
      <c r="C145" s="19">
        <v>19.5</v>
      </c>
      <c r="D145" s="32" t="str">
        <f>_xlfn.IFNA(VLOOKUP(Table2[[#This Row],[Name]],'Classic day 1 - players'!$A$2:$B$64,2,FALSE),"")</f>
        <v/>
      </c>
      <c r="E145" s="33" t="str">
        <f>IF(Table2[[#This Row],[Tee time1]]&lt;&gt;"",COUNTIF('Classic day 1 - players'!$B$2:$B$64,"="&amp;Table2[[#This Row],[Tee time1]]),"")</f>
        <v/>
      </c>
      <c r="F145" s="4" t="str">
        <f>_xlfn.IFNA(VLOOKUP(Table2[[#This Row],[Tee time1]],'Classic day 1 - groups'!$A$3:$F$20,6,FALSE),"")</f>
        <v/>
      </c>
      <c r="G145" s="11" t="str">
        <f>_xlfn.IFNA(VLOOKUP(Table2[[#This Row],[Tee time1]],'Classic day 1 - groups'!$A$3:$F$20,4,FALSE),"")</f>
        <v/>
      </c>
      <c r="H145" s="12" t="str">
        <f>_xlfn.IFNA(VLOOKUP(Table2[[#This Row],[Tee time1]],'Classic day 1 - groups'!$A$3:$F$20,5,FALSE),"")</f>
        <v/>
      </c>
      <c r="I145" s="69" t="str">
        <f>IFERROR((MAX(starting_interval,IF(Table2[[#This Row],[gap1]]="NA",Table2[[#This Row],[avg gap]],Table2[[#This Row],[gap1]]))-starting_interval)*Table2[[#This Row],[followers1]]/Table2[[#This Row],[group size]],"")</f>
        <v/>
      </c>
      <c r="J145" s="32" t="str">
        <f>_xlfn.IFNA(VLOOKUP(Table2[[#This Row],[Name]],'Classic day 2 - players'!$A$2:$B$64,2,FALSE),"")</f>
        <v/>
      </c>
      <c r="K145" s="4" t="str">
        <f>IF(Table2[[#This Row],[tee time2]]&lt;&gt;"",COUNTIF('Classic day 2 - players'!$B$2:$B$64,"="&amp;Table2[[#This Row],[tee time2]]),"")</f>
        <v/>
      </c>
      <c r="L145" s="4" t="str">
        <f>_xlfn.IFNA(VLOOKUP(Table2[[#This Row],[tee time2]],'Classic day 2 - groups'!$A$3:$F$20,6,FALSE),"")</f>
        <v/>
      </c>
      <c r="M145" s="4" t="str">
        <f>_xlfn.IFNA(VLOOKUP(Table2[[#This Row],[tee time2]],'Classic day 2 - groups'!$A$3:$F$20,4,FALSE),"")</f>
        <v/>
      </c>
      <c r="N145" s="65" t="str">
        <f>_xlfn.IFNA(VLOOKUP(Table2[[#This Row],[tee time2]],'Classic day 2 - groups'!$A$3:$F$20,5,FALSE),"")</f>
        <v/>
      </c>
      <c r="O145" s="69" t="str">
        <f>IFERROR((MAX(starting_interval,IF(Table2[[#This Row],[gap2]]="NA",Table2[[#This Row],[avg gap]],Table2[[#This Row],[gap2]]))-starting_interval)*Table2[[#This Row],[followers2]]/Table2[[#This Row],[group size2]],"")</f>
        <v/>
      </c>
      <c r="P145" s="32" t="str">
        <f>_xlfn.IFNA(VLOOKUP(Table2[[#This Row],[Name]],'Summer FD - players'!$A$2:$B$65,2,FALSE),"")</f>
        <v/>
      </c>
      <c r="Q145" s="59" t="str">
        <f>IF(Table2[[#This Row],[tee time3]]&lt;&gt;"",COUNTIF('Summer FD - players'!$B$2:$B$65,"="&amp;Table2[[#This Row],[tee time3]]),"")</f>
        <v/>
      </c>
      <c r="R145" s="59" t="str">
        <f>_xlfn.IFNA(VLOOKUP(Table2[[#This Row],[tee time3]],'Summer FD - groups'!$A$3:$F$20,6,FALSE),"")</f>
        <v/>
      </c>
      <c r="S145" s="4" t="str">
        <f>_xlfn.IFNA(VLOOKUP(Table2[[#This Row],[tee time3]],'Summer FD - groups'!$A$3:$F$20,4,FALSE),"")</f>
        <v/>
      </c>
      <c r="T145" s="13" t="str">
        <f>_xlfn.IFNA(VLOOKUP(Table2[[#This Row],[tee time3]],'Summer FD - groups'!$A$3:$F$20,5,FALSE),"")</f>
        <v/>
      </c>
      <c r="U145" s="69" t="str">
        <f>IF(Table2[[#This Row],[avg gap]]&lt;&gt;"",IFERROR((MAX(starting_interval,IF(Table2[[#This Row],[gap3]]="NA",Table2[[#This Row],[avg gap]],Table2[[#This Row],[gap3]]))-starting_interval)*Table2[[#This Row],[followers3]]/Table2[[#This Row],[group size3]],""),"")</f>
        <v/>
      </c>
      <c r="V145" s="32" t="str">
        <f>_xlfn.IFNA(VLOOKUP(Table2[[#This Row],[Name]],'6-6-6 - players'!$A$2:$B$69,2,FALSE),"")</f>
        <v/>
      </c>
      <c r="W145" s="59" t="str">
        <f>IF(Table2[[#This Row],[tee time4]]&lt;&gt;"",COUNTIF('6-6-6 - players'!$B$2:$B$69,"="&amp;Table2[[#This Row],[tee time4]]),"")</f>
        <v/>
      </c>
      <c r="X145" s="59" t="str">
        <f>_xlfn.IFNA(VLOOKUP(Table2[[#This Row],[tee time4]],'6-6-6 - groups'!$A$3:$F$20,6,FALSE),"")</f>
        <v/>
      </c>
      <c r="Y145" s="4" t="str">
        <f>_xlfn.IFNA(VLOOKUP(Table2[[#This Row],[tee time4]],'6-6-6 - groups'!$A$3:$F$20,4,FALSE),"")</f>
        <v/>
      </c>
      <c r="Z145" s="13" t="str">
        <f>_xlfn.IFNA(VLOOKUP(Table2[[#This Row],[tee time4]],'6-6-6 - groups'!$A$3:$F$20,5,FALSE),"")</f>
        <v/>
      </c>
      <c r="AA145" s="69" t="str">
        <f>IF(Table2[[#This Row],[avg gap]]&lt;&gt;"",IFERROR((MAX(starting_interval,IF(Table2[[#This Row],[gap4]]="NA",Table2[[#This Row],[avg gap]],Table2[[#This Row],[gap4]]))-starting_interval)*Table2[[#This Row],[followers4]]/Table2[[#This Row],[group size4]],""),"")</f>
        <v/>
      </c>
      <c r="AB145" s="32" t="str">
        <f>_xlfn.IFNA(VLOOKUP(Table2[[#This Row],[Name]],'Fall FD - players'!$A$2:$B$65,2,FALSE),"")</f>
        <v/>
      </c>
      <c r="AC145" s="59" t="str">
        <f>IF(Table2[[#This Row],[tee time5]]&lt;&gt;"",COUNTIF('Fall FD - players'!$B$2:$B$65,"="&amp;Table2[[#This Row],[tee time5]]),"")</f>
        <v/>
      </c>
      <c r="AD145" s="59" t="str">
        <f>_xlfn.IFNA(VLOOKUP(Table2[[#This Row],[tee time5]],'Fall FD - groups'!$A$3:$F$20,6,FALSE),"")</f>
        <v/>
      </c>
      <c r="AE145" s="4" t="str">
        <f>_xlfn.IFNA(VLOOKUP(Table2[[#This Row],[tee time5]],'Fall FD - groups'!$A$3:$F$20,4,FALSE),"")</f>
        <v/>
      </c>
      <c r="AF145" s="13" t="str">
        <f>IFERROR(MIN(_xlfn.IFNA(VLOOKUP(Table2[[#This Row],[tee time5]],'Fall FD - groups'!$A$3:$F$20,5,FALSE),""),starting_interval + Table2[[#This Row],[round5]] - standard_round_time),"")</f>
        <v/>
      </c>
      <c r="AG145" s="69" t="str">
        <f>IF(AND(Table2[[#This Row],[gap5]]="NA",Table2[[#This Row],[round5]]&lt;4/24),0,IFERROR((MAX(starting_interval,IF(Table2[[#This Row],[gap5]]="NA",Table2[[#This Row],[avg gap]],Table2[[#This Row],[gap5]]))-starting_interval)*Table2[[#This Row],[followers5]]/Table2[[#This Row],[group size5]],""))</f>
        <v/>
      </c>
      <c r="AH145" s="32" t="str">
        <f>_xlfn.IFNA(VLOOKUP(Table2[[#This Row],[Name]],'Stableford - players'!$A$2:$B$65,2,FALSE),"")</f>
        <v/>
      </c>
      <c r="AI145" s="59" t="str">
        <f>IF(Table2[[#This Row],[tee time6]]&lt;&gt;"",COUNTIF('Stableford - players'!$B$2:$B$65,"="&amp;Table2[[#This Row],[tee time6]]),"")</f>
        <v/>
      </c>
      <c r="AJ145" s="59" t="str">
        <f>_xlfn.IFNA(VLOOKUP(Table2[[#This Row],[tee time6]],'Stableford - groups'!$A$3:$F$20,6,FALSE),"")</f>
        <v/>
      </c>
      <c r="AK145" s="11" t="str">
        <f>_xlfn.IFNA(VLOOKUP(Table2[[#This Row],[tee time6]],'Stableford - groups'!$A$3:$F$20,4,FALSE),"")</f>
        <v/>
      </c>
      <c r="AL145" s="13" t="str">
        <f>_xlfn.IFNA(VLOOKUP(Table2[[#This Row],[tee time6]],'Stableford - groups'!$A$3:$F$20,5,FALSE),"")</f>
        <v/>
      </c>
      <c r="AM145" s="68" t="str">
        <f>IF(AND(Table2[[#This Row],[gap6]]="NA",Table2[[#This Row],[round6]]&lt;4/24),0,IFERROR((MAX(starting_interval,IF(Table2[[#This Row],[gap6]]="NA",Table2[[#This Row],[avg gap]],Table2[[#This Row],[gap6]]))-starting_interval)*Table2[[#This Row],[followers6]]/Table2[[#This Row],[group size6]],""))</f>
        <v/>
      </c>
      <c r="AN145" s="32" t="str">
        <f>_xlfn.IFNA(VLOOKUP(Table2[[#This Row],[Name]],'Turkey Shoot - players'!$A$2:$B$65,2,FALSE),"")</f>
        <v/>
      </c>
      <c r="AO145" s="59" t="str">
        <f>IF(Table2[[#This Row],[tee time7]]&lt;&gt;"",COUNTIF('Turkey Shoot - players'!$B$2:$B$65,"="&amp;Table2[[#This Row],[tee time7]]),"")</f>
        <v/>
      </c>
      <c r="AP145" s="59" t="str">
        <f>_xlfn.IFNA(VLOOKUP(Table2[[#This Row],[tee time7]],'Stableford - groups'!$A$3:$F$20,6,FALSE),"")</f>
        <v/>
      </c>
      <c r="AQ145" s="11" t="str">
        <f>_xlfn.IFNA(VLOOKUP(Table2[[#This Row],[tee time7]],'Turkey Shoot - groups'!$A$3:$F$20,4,FALSE),"")</f>
        <v/>
      </c>
      <c r="AR145" s="13" t="str">
        <f>_xlfn.IFNA(VLOOKUP(Table2[[#This Row],[tee time7]],'Turkey Shoot - groups'!$A$3:$F$20,5,FALSE),"")</f>
        <v/>
      </c>
      <c r="AS145" s="68" t="str">
        <f>IF(AND(Table2[[#This Row],[gap7]]="NA",Table2[[#This Row],[round7]]&lt;4/24),0,IFERROR((MAX(starting_interval,IF(Table2[[#This Row],[gap7]]="NA",Table2[[#This Row],[avg gap]],Table2[[#This Row],[gap7]]))-starting_interval)*Table2[[#This Row],[followers7]]/Table2[[#This Row],[group size7]],""))</f>
        <v/>
      </c>
      <c r="AT145" s="72">
        <f>COUNT(Table2[[#This Row],[Tee time1]],Table2[[#This Row],[tee time2]],Table2[[#This Row],[tee time3]],Table2[[#This Row],[tee time4]],Table2[[#This Row],[tee time5]],Table2[[#This Row],[tee time6]],Table2[[#This Row],[tee time7]])</f>
        <v>0</v>
      </c>
      <c r="AU145" s="4" t="str">
        <f>IFERROR(AVERAGE(Table2[[#This Row],[Tee time1]],Table2[[#This Row],[tee time2]],Table2[[#This Row],[tee time3]],Table2[[#This Row],[tee time4]],Table2[[#This Row],[tee time5]],Table2[[#This Row],[tee time6]],Table2[[#This Row],[tee time7]]),"")</f>
        <v/>
      </c>
      <c r="AV145" s="11" t="str">
        <f>IFERROR(MEDIAN(Table2[[#This Row],[round1]],Table2[[#This Row],[Round2]],Table2[[#This Row],[round3]],Table2[[#This Row],[round4]],Table2[[#This Row],[round5]],Table2[[#This Row],[round6]],Table2[[#This Row],[round7]]),"")</f>
        <v/>
      </c>
      <c r="AW145" s="11" t="str">
        <f>IFERROR(AVERAGE(Table2[[#This Row],[gap1]],Table2[[#This Row],[gap2]],Table2[[#This Row],[gap3]],Table2[[#This Row],[gap4]],Table2[[#This Row],[gap5]],Table2[[#This Row],[gap6]],Table2[[#This Row],[gap7]]),"")</f>
        <v/>
      </c>
      <c r="AX145" s="9" t="str">
        <f>IFERROR((Table2[[#This Row],[avg gap]]-starting_interval)*24*60*Table2[[#This Row],[Count]],"NA")</f>
        <v>NA</v>
      </c>
      <c r="AY145"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45" s="2"/>
    </row>
    <row r="146" spans="1:52" hidden="1" x14ac:dyDescent="0.3">
      <c r="A146" s="10" t="s">
        <v>28</v>
      </c>
      <c r="B146" s="1" t="s">
        <v>266</v>
      </c>
      <c r="C146" s="19">
        <v>5.7</v>
      </c>
      <c r="D146" s="32" t="str">
        <f>_xlfn.IFNA(VLOOKUP(Table2[[#This Row],[Name]],'Classic day 1 - players'!$A$2:$B$64,2,FALSE),"")</f>
        <v/>
      </c>
      <c r="E146" s="33" t="str">
        <f>IF(Table2[[#This Row],[Tee time1]]&lt;&gt;"",COUNTIF('Classic day 1 - players'!$B$2:$B$64,"="&amp;Table2[[#This Row],[Tee time1]]),"")</f>
        <v/>
      </c>
      <c r="F146" s="4" t="str">
        <f>_xlfn.IFNA(VLOOKUP(Table2[[#This Row],[Tee time1]],'Classic day 1 - groups'!$A$3:$F$20,6,FALSE),"")</f>
        <v/>
      </c>
      <c r="G146" s="11" t="str">
        <f>_xlfn.IFNA(VLOOKUP(Table2[[#This Row],[Tee time1]],'Classic day 1 - groups'!$A$3:$F$20,4,FALSE),"")</f>
        <v/>
      </c>
      <c r="H146" s="12" t="str">
        <f>_xlfn.IFNA(VLOOKUP(Table2[[#This Row],[Tee time1]],'Classic day 1 - groups'!$A$3:$F$20,5,FALSE),"")</f>
        <v/>
      </c>
      <c r="I146" s="69" t="str">
        <f>IFERROR((MAX(starting_interval,IF(Table2[[#This Row],[gap1]]="NA",Table2[[#This Row],[avg gap]],Table2[[#This Row],[gap1]]))-starting_interval)*Table2[[#This Row],[followers1]]/Table2[[#This Row],[group size]],"")</f>
        <v/>
      </c>
      <c r="J146" s="32" t="str">
        <f>_xlfn.IFNA(VLOOKUP(Table2[[#This Row],[Name]],'Classic day 2 - players'!$A$2:$B$64,2,FALSE),"")</f>
        <v/>
      </c>
      <c r="K146" s="4" t="str">
        <f>IF(Table2[[#This Row],[tee time2]]&lt;&gt;"",COUNTIF('Classic day 2 - players'!$B$2:$B$64,"="&amp;Table2[[#This Row],[tee time2]]),"")</f>
        <v/>
      </c>
      <c r="L146" s="4" t="str">
        <f>_xlfn.IFNA(VLOOKUP(Table2[[#This Row],[tee time2]],'Classic day 2 - groups'!$A$3:$F$20,6,FALSE),"")</f>
        <v/>
      </c>
      <c r="M146" s="4" t="str">
        <f>_xlfn.IFNA(VLOOKUP(Table2[[#This Row],[tee time2]],'Classic day 2 - groups'!$A$3:$F$20,4,FALSE),"")</f>
        <v/>
      </c>
      <c r="N146" s="65" t="str">
        <f>_xlfn.IFNA(VLOOKUP(Table2[[#This Row],[tee time2]],'Classic day 2 - groups'!$A$3:$F$20,5,FALSE),"")</f>
        <v/>
      </c>
      <c r="O146" s="69" t="str">
        <f>IFERROR((MAX(starting_interval,IF(Table2[[#This Row],[gap2]]="NA",Table2[[#This Row],[avg gap]],Table2[[#This Row],[gap2]]))-starting_interval)*Table2[[#This Row],[followers2]]/Table2[[#This Row],[group size2]],"")</f>
        <v/>
      </c>
      <c r="P146" s="32" t="str">
        <f>_xlfn.IFNA(VLOOKUP(Table2[[#This Row],[Name]],'Summer FD - players'!$A$2:$B$65,2,FALSE),"")</f>
        <v/>
      </c>
      <c r="Q146" s="59" t="str">
        <f>IF(Table2[[#This Row],[tee time3]]&lt;&gt;"",COUNTIF('Summer FD - players'!$B$2:$B$65,"="&amp;Table2[[#This Row],[tee time3]]),"")</f>
        <v/>
      </c>
      <c r="R146" s="59" t="str">
        <f>_xlfn.IFNA(VLOOKUP(Table2[[#This Row],[tee time3]],'Summer FD - groups'!$A$3:$F$20,6,FALSE),"")</f>
        <v/>
      </c>
      <c r="S146" s="4" t="str">
        <f>_xlfn.IFNA(VLOOKUP(Table2[[#This Row],[tee time3]],'Summer FD - groups'!$A$3:$F$20,4,FALSE),"")</f>
        <v/>
      </c>
      <c r="T146" s="13" t="str">
        <f>_xlfn.IFNA(VLOOKUP(Table2[[#This Row],[tee time3]],'Summer FD - groups'!$A$3:$F$20,5,FALSE),"")</f>
        <v/>
      </c>
      <c r="U146" s="69" t="str">
        <f>IF(Table2[[#This Row],[avg gap]]&lt;&gt;"",IFERROR((MAX(starting_interval,IF(Table2[[#This Row],[gap3]]="NA",Table2[[#This Row],[avg gap]],Table2[[#This Row],[gap3]]))-starting_interval)*Table2[[#This Row],[followers3]]/Table2[[#This Row],[group size3]],""),"")</f>
        <v/>
      </c>
      <c r="V146" s="32" t="str">
        <f>_xlfn.IFNA(VLOOKUP(Table2[[#This Row],[Name]],'6-6-6 - players'!$A$2:$B$69,2,FALSE),"")</f>
        <v/>
      </c>
      <c r="W146" s="59" t="str">
        <f>IF(Table2[[#This Row],[tee time4]]&lt;&gt;"",COUNTIF('6-6-6 - players'!$B$2:$B$69,"="&amp;Table2[[#This Row],[tee time4]]),"")</f>
        <v/>
      </c>
      <c r="X146" s="59" t="str">
        <f>_xlfn.IFNA(VLOOKUP(Table2[[#This Row],[tee time4]],'6-6-6 - groups'!$A$3:$F$20,6,FALSE),"")</f>
        <v/>
      </c>
      <c r="Y146" s="4" t="str">
        <f>_xlfn.IFNA(VLOOKUP(Table2[[#This Row],[tee time4]],'6-6-6 - groups'!$A$3:$F$20,4,FALSE),"")</f>
        <v/>
      </c>
      <c r="Z146" s="13" t="str">
        <f>_xlfn.IFNA(VLOOKUP(Table2[[#This Row],[tee time4]],'6-6-6 - groups'!$A$3:$F$20,5,FALSE),"")</f>
        <v/>
      </c>
      <c r="AA146" s="69" t="str">
        <f>IF(Table2[[#This Row],[avg gap]]&lt;&gt;"",IFERROR((MAX(starting_interval,IF(Table2[[#This Row],[gap4]]="NA",Table2[[#This Row],[avg gap]],Table2[[#This Row],[gap4]]))-starting_interval)*Table2[[#This Row],[followers4]]/Table2[[#This Row],[group size4]],""),"")</f>
        <v/>
      </c>
      <c r="AB146" s="32" t="str">
        <f>_xlfn.IFNA(VLOOKUP(Table2[[#This Row],[Name]],'Fall FD - players'!$A$2:$B$65,2,FALSE),"")</f>
        <v/>
      </c>
      <c r="AC146" s="59" t="str">
        <f>IF(Table2[[#This Row],[tee time5]]&lt;&gt;"",COUNTIF('Fall FD - players'!$B$2:$B$65,"="&amp;Table2[[#This Row],[tee time5]]),"")</f>
        <v/>
      </c>
      <c r="AD146" s="59" t="str">
        <f>_xlfn.IFNA(VLOOKUP(Table2[[#This Row],[tee time5]],'Fall FD - groups'!$A$3:$F$20,6,FALSE),"")</f>
        <v/>
      </c>
      <c r="AE146" s="4" t="str">
        <f>_xlfn.IFNA(VLOOKUP(Table2[[#This Row],[tee time5]],'Fall FD - groups'!$A$3:$F$20,4,FALSE),"")</f>
        <v/>
      </c>
      <c r="AF146" s="13" t="str">
        <f>IFERROR(MIN(_xlfn.IFNA(VLOOKUP(Table2[[#This Row],[tee time5]],'Fall FD - groups'!$A$3:$F$20,5,FALSE),""),starting_interval + Table2[[#This Row],[round5]] - standard_round_time),"")</f>
        <v/>
      </c>
      <c r="AG146" s="69" t="str">
        <f>IF(AND(Table2[[#This Row],[gap5]]="NA",Table2[[#This Row],[round5]]&lt;4/24),0,IFERROR((MAX(starting_interval,IF(Table2[[#This Row],[gap5]]="NA",Table2[[#This Row],[avg gap]],Table2[[#This Row],[gap5]]))-starting_interval)*Table2[[#This Row],[followers5]]/Table2[[#This Row],[group size5]],""))</f>
        <v/>
      </c>
      <c r="AH146" s="32" t="str">
        <f>_xlfn.IFNA(VLOOKUP(Table2[[#This Row],[Name]],'Stableford - players'!$A$2:$B$65,2,FALSE),"")</f>
        <v/>
      </c>
      <c r="AI146" s="59" t="str">
        <f>IF(Table2[[#This Row],[tee time6]]&lt;&gt;"",COUNTIF('Stableford - players'!$B$2:$B$65,"="&amp;Table2[[#This Row],[tee time6]]),"")</f>
        <v/>
      </c>
      <c r="AJ146" s="59" t="str">
        <f>_xlfn.IFNA(VLOOKUP(Table2[[#This Row],[tee time6]],'Stableford - groups'!$A$3:$F$20,6,FALSE),"")</f>
        <v/>
      </c>
      <c r="AK146" s="11" t="str">
        <f>_xlfn.IFNA(VLOOKUP(Table2[[#This Row],[tee time6]],'Stableford - groups'!$A$3:$F$20,4,FALSE),"")</f>
        <v/>
      </c>
      <c r="AL146" s="13" t="str">
        <f>_xlfn.IFNA(VLOOKUP(Table2[[#This Row],[tee time6]],'Stableford - groups'!$A$3:$F$20,5,FALSE),"")</f>
        <v/>
      </c>
      <c r="AM146" s="68" t="str">
        <f>IF(AND(Table2[[#This Row],[gap6]]="NA",Table2[[#This Row],[round6]]&lt;4/24),0,IFERROR((MAX(starting_interval,IF(Table2[[#This Row],[gap6]]="NA",Table2[[#This Row],[avg gap]],Table2[[#This Row],[gap6]]))-starting_interval)*Table2[[#This Row],[followers6]]/Table2[[#This Row],[group size6]],""))</f>
        <v/>
      </c>
      <c r="AN146" s="32" t="str">
        <f>_xlfn.IFNA(VLOOKUP(Table2[[#This Row],[Name]],'Turkey Shoot - players'!$A$2:$B$65,2,FALSE),"")</f>
        <v/>
      </c>
      <c r="AO146" s="59" t="str">
        <f>IF(Table2[[#This Row],[tee time7]]&lt;&gt;"",COUNTIF('Turkey Shoot - players'!$B$2:$B$65,"="&amp;Table2[[#This Row],[tee time7]]),"")</f>
        <v/>
      </c>
      <c r="AP146" s="59" t="str">
        <f>_xlfn.IFNA(VLOOKUP(Table2[[#This Row],[tee time7]],'Stableford - groups'!$A$3:$F$20,6,FALSE),"")</f>
        <v/>
      </c>
      <c r="AQ146" s="11" t="str">
        <f>_xlfn.IFNA(VLOOKUP(Table2[[#This Row],[tee time7]],'Turkey Shoot - groups'!$A$3:$F$20,4,FALSE),"")</f>
        <v/>
      </c>
      <c r="AR146" s="13" t="str">
        <f>_xlfn.IFNA(VLOOKUP(Table2[[#This Row],[tee time7]],'Turkey Shoot - groups'!$A$3:$F$20,5,FALSE),"")</f>
        <v/>
      </c>
      <c r="AS146" s="68" t="str">
        <f>IF(AND(Table2[[#This Row],[gap7]]="NA",Table2[[#This Row],[round7]]&lt;4/24),0,IFERROR((MAX(starting_interval,IF(Table2[[#This Row],[gap7]]="NA",Table2[[#This Row],[avg gap]],Table2[[#This Row],[gap7]]))-starting_interval)*Table2[[#This Row],[followers7]]/Table2[[#This Row],[group size7]],""))</f>
        <v/>
      </c>
      <c r="AT146" s="72">
        <f>COUNT(Table2[[#This Row],[Tee time1]],Table2[[#This Row],[tee time2]],Table2[[#This Row],[tee time3]],Table2[[#This Row],[tee time4]],Table2[[#This Row],[tee time5]],Table2[[#This Row],[tee time6]],Table2[[#This Row],[tee time7]])</f>
        <v>0</v>
      </c>
      <c r="AU146" s="4" t="str">
        <f>IFERROR(AVERAGE(Table2[[#This Row],[Tee time1]],Table2[[#This Row],[tee time2]],Table2[[#This Row],[tee time3]],Table2[[#This Row],[tee time4]],Table2[[#This Row],[tee time5]],Table2[[#This Row],[tee time6]],Table2[[#This Row],[tee time7]]),"")</f>
        <v/>
      </c>
      <c r="AV146" s="11" t="str">
        <f>IFERROR(MEDIAN(Table2[[#This Row],[round1]],Table2[[#This Row],[Round2]],Table2[[#This Row],[round3]],Table2[[#This Row],[round4]],Table2[[#This Row],[round5]],Table2[[#This Row],[round6]],Table2[[#This Row],[round7]]),"")</f>
        <v/>
      </c>
      <c r="AW146" s="11" t="str">
        <f>IFERROR(AVERAGE(Table2[[#This Row],[gap1]],Table2[[#This Row],[gap2]],Table2[[#This Row],[gap3]],Table2[[#This Row],[gap4]],Table2[[#This Row],[gap5]],Table2[[#This Row],[gap6]],Table2[[#This Row],[gap7]]),"")</f>
        <v/>
      </c>
      <c r="AX146" s="9" t="str">
        <f>IFERROR((Table2[[#This Row],[avg gap]]-starting_interval)*24*60*Table2[[#This Row],[Count]],"NA")</f>
        <v>NA</v>
      </c>
      <c r="AY146"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46" s="2"/>
    </row>
    <row r="147" spans="1:52" hidden="1" x14ac:dyDescent="0.3">
      <c r="A147" s="10" t="s">
        <v>29</v>
      </c>
      <c r="B147" s="1" t="s">
        <v>267</v>
      </c>
      <c r="C147" s="19">
        <v>20.399999999999999</v>
      </c>
      <c r="D147" s="32" t="str">
        <f>_xlfn.IFNA(VLOOKUP(Table2[[#This Row],[Name]],'Classic day 1 - players'!$A$2:$B$64,2,FALSE),"")</f>
        <v/>
      </c>
      <c r="E147" s="33" t="str">
        <f>IF(Table2[[#This Row],[Tee time1]]&lt;&gt;"",COUNTIF('Classic day 1 - players'!$B$2:$B$64,"="&amp;Table2[[#This Row],[Tee time1]]),"")</f>
        <v/>
      </c>
      <c r="F147" s="4" t="str">
        <f>_xlfn.IFNA(VLOOKUP(Table2[[#This Row],[Tee time1]],'Classic day 1 - groups'!$A$3:$F$20,6,FALSE),"")</f>
        <v/>
      </c>
      <c r="G147" s="11" t="str">
        <f>_xlfn.IFNA(VLOOKUP(Table2[[#This Row],[Tee time1]],'Classic day 1 - groups'!$A$3:$F$20,4,FALSE),"")</f>
        <v/>
      </c>
      <c r="H147" s="12" t="str">
        <f>_xlfn.IFNA(VLOOKUP(Table2[[#This Row],[Tee time1]],'Classic day 1 - groups'!$A$3:$F$20,5,FALSE),"")</f>
        <v/>
      </c>
      <c r="I147" s="69" t="str">
        <f>IFERROR((MAX(starting_interval,IF(Table2[[#This Row],[gap1]]="NA",Table2[[#This Row],[avg gap]],Table2[[#This Row],[gap1]]))-starting_interval)*Table2[[#This Row],[followers1]]/Table2[[#This Row],[group size]],"")</f>
        <v/>
      </c>
      <c r="J147" s="32" t="str">
        <f>_xlfn.IFNA(VLOOKUP(Table2[[#This Row],[Name]],'Classic day 2 - players'!$A$2:$B$64,2,FALSE),"")</f>
        <v/>
      </c>
      <c r="K147" s="4" t="str">
        <f>IF(Table2[[#This Row],[tee time2]]&lt;&gt;"",COUNTIF('Classic day 2 - players'!$B$2:$B$64,"="&amp;Table2[[#This Row],[tee time2]]),"")</f>
        <v/>
      </c>
      <c r="L147" s="4" t="str">
        <f>_xlfn.IFNA(VLOOKUP(Table2[[#This Row],[tee time2]],'Classic day 2 - groups'!$A$3:$F$20,6,FALSE),"")</f>
        <v/>
      </c>
      <c r="M147" s="4" t="str">
        <f>_xlfn.IFNA(VLOOKUP(Table2[[#This Row],[tee time2]],'Classic day 2 - groups'!$A$3:$F$20,4,FALSE),"")</f>
        <v/>
      </c>
      <c r="N147" s="65" t="str">
        <f>_xlfn.IFNA(VLOOKUP(Table2[[#This Row],[tee time2]],'Classic day 2 - groups'!$A$3:$F$20,5,FALSE),"")</f>
        <v/>
      </c>
      <c r="O147" s="69" t="str">
        <f>IFERROR((MAX(starting_interval,IF(Table2[[#This Row],[gap2]]="NA",Table2[[#This Row],[avg gap]],Table2[[#This Row],[gap2]]))-starting_interval)*Table2[[#This Row],[followers2]]/Table2[[#This Row],[group size2]],"")</f>
        <v/>
      </c>
      <c r="P147" s="32" t="str">
        <f>_xlfn.IFNA(VLOOKUP(Table2[[#This Row],[Name]],'Summer FD - players'!$A$2:$B$65,2,FALSE),"")</f>
        <v/>
      </c>
      <c r="Q147" s="59" t="str">
        <f>IF(Table2[[#This Row],[tee time3]]&lt;&gt;"",COUNTIF('Summer FD - players'!$B$2:$B$65,"="&amp;Table2[[#This Row],[tee time3]]),"")</f>
        <v/>
      </c>
      <c r="R147" s="59" t="str">
        <f>_xlfn.IFNA(VLOOKUP(Table2[[#This Row],[tee time3]],'Summer FD - groups'!$A$3:$F$20,6,FALSE),"")</f>
        <v/>
      </c>
      <c r="S147" s="4" t="str">
        <f>_xlfn.IFNA(VLOOKUP(Table2[[#This Row],[tee time3]],'Summer FD - groups'!$A$3:$F$20,4,FALSE),"")</f>
        <v/>
      </c>
      <c r="T147" s="13" t="str">
        <f>_xlfn.IFNA(VLOOKUP(Table2[[#This Row],[tee time3]],'Summer FD - groups'!$A$3:$F$20,5,FALSE),"")</f>
        <v/>
      </c>
      <c r="U147" s="69" t="str">
        <f>IF(Table2[[#This Row],[avg gap]]&lt;&gt;"",IFERROR((MAX(starting_interval,IF(Table2[[#This Row],[gap3]]="NA",Table2[[#This Row],[avg gap]],Table2[[#This Row],[gap3]]))-starting_interval)*Table2[[#This Row],[followers3]]/Table2[[#This Row],[group size3]],""),"")</f>
        <v/>
      </c>
      <c r="V147" s="32" t="str">
        <f>_xlfn.IFNA(VLOOKUP(Table2[[#This Row],[Name]],'6-6-6 - players'!$A$2:$B$69,2,FALSE),"")</f>
        <v/>
      </c>
      <c r="W147" s="59" t="str">
        <f>IF(Table2[[#This Row],[tee time4]]&lt;&gt;"",COUNTIF('6-6-6 - players'!$B$2:$B$69,"="&amp;Table2[[#This Row],[tee time4]]),"")</f>
        <v/>
      </c>
      <c r="X147" s="59" t="str">
        <f>_xlfn.IFNA(VLOOKUP(Table2[[#This Row],[tee time4]],'6-6-6 - groups'!$A$3:$F$20,6,FALSE),"")</f>
        <v/>
      </c>
      <c r="Y147" s="4" t="str">
        <f>_xlfn.IFNA(VLOOKUP(Table2[[#This Row],[tee time4]],'6-6-6 - groups'!$A$3:$F$20,4,FALSE),"")</f>
        <v/>
      </c>
      <c r="Z147" s="13" t="str">
        <f>_xlfn.IFNA(VLOOKUP(Table2[[#This Row],[tee time4]],'6-6-6 - groups'!$A$3:$F$20,5,FALSE),"")</f>
        <v/>
      </c>
      <c r="AA147" s="69" t="str">
        <f>IF(Table2[[#This Row],[avg gap]]&lt;&gt;"",IFERROR((MAX(starting_interval,IF(Table2[[#This Row],[gap4]]="NA",Table2[[#This Row],[avg gap]],Table2[[#This Row],[gap4]]))-starting_interval)*Table2[[#This Row],[followers4]]/Table2[[#This Row],[group size4]],""),"")</f>
        <v/>
      </c>
      <c r="AB147" s="32" t="str">
        <f>_xlfn.IFNA(VLOOKUP(Table2[[#This Row],[Name]],'Fall FD - players'!$A$2:$B$65,2,FALSE),"")</f>
        <v/>
      </c>
      <c r="AC147" s="59" t="str">
        <f>IF(Table2[[#This Row],[tee time5]]&lt;&gt;"",COUNTIF('Fall FD - players'!$B$2:$B$65,"="&amp;Table2[[#This Row],[tee time5]]),"")</f>
        <v/>
      </c>
      <c r="AD147" s="59" t="str">
        <f>_xlfn.IFNA(VLOOKUP(Table2[[#This Row],[tee time5]],'Fall FD - groups'!$A$3:$F$20,6,FALSE),"")</f>
        <v/>
      </c>
      <c r="AE147" s="4" t="str">
        <f>_xlfn.IFNA(VLOOKUP(Table2[[#This Row],[tee time5]],'Fall FD - groups'!$A$3:$F$20,4,FALSE),"")</f>
        <v/>
      </c>
      <c r="AF147" s="13" t="str">
        <f>IFERROR(MIN(_xlfn.IFNA(VLOOKUP(Table2[[#This Row],[tee time5]],'Fall FD - groups'!$A$3:$F$20,5,FALSE),""),starting_interval + Table2[[#This Row],[round5]] - standard_round_time),"")</f>
        <v/>
      </c>
      <c r="AG147" s="69" t="str">
        <f>IF(AND(Table2[[#This Row],[gap5]]="NA",Table2[[#This Row],[round5]]&lt;4/24),0,IFERROR((MAX(starting_interval,IF(Table2[[#This Row],[gap5]]="NA",Table2[[#This Row],[avg gap]],Table2[[#This Row],[gap5]]))-starting_interval)*Table2[[#This Row],[followers5]]/Table2[[#This Row],[group size5]],""))</f>
        <v/>
      </c>
      <c r="AH147" s="32" t="str">
        <f>_xlfn.IFNA(VLOOKUP(Table2[[#This Row],[Name]],'Stableford - players'!$A$2:$B$65,2,FALSE),"")</f>
        <v/>
      </c>
      <c r="AI147" s="59" t="str">
        <f>IF(Table2[[#This Row],[tee time6]]&lt;&gt;"",COUNTIF('Stableford - players'!$B$2:$B$65,"="&amp;Table2[[#This Row],[tee time6]]),"")</f>
        <v/>
      </c>
      <c r="AJ147" s="59" t="str">
        <f>_xlfn.IFNA(VLOOKUP(Table2[[#This Row],[tee time6]],'Stableford - groups'!$A$3:$F$20,6,FALSE),"")</f>
        <v/>
      </c>
      <c r="AK147" s="11" t="str">
        <f>_xlfn.IFNA(VLOOKUP(Table2[[#This Row],[tee time6]],'Stableford - groups'!$A$3:$F$20,4,FALSE),"")</f>
        <v/>
      </c>
      <c r="AL147" s="13" t="str">
        <f>_xlfn.IFNA(VLOOKUP(Table2[[#This Row],[tee time6]],'Stableford - groups'!$A$3:$F$20,5,FALSE),"")</f>
        <v/>
      </c>
      <c r="AM147" s="68" t="str">
        <f>IF(AND(Table2[[#This Row],[gap6]]="NA",Table2[[#This Row],[round6]]&lt;4/24),0,IFERROR((MAX(starting_interval,IF(Table2[[#This Row],[gap6]]="NA",Table2[[#This Row],[avg gap]],Table2[[#This Row],[gap6]]))-starting_interval)*Table2[[#This Row],[followers6]]/Table2[[#This Row],[group size6]],""))</f>
        <v/>
      </c>
      <c r="AN147" s="32" t="str">
        <f>_xlfn.IFNA(VLOOKUP(Table2[[#This Row],[Name]],'Turkey Shoot - players'!$A$2:$B$65,2,FALSE),"")</f>
        <v/>
      </c>
      <c r="AO147" s="59" t="str">
        <f>IF(Table2[[#This Row],[tee time7]]&lt;&gt;"",COUNTIF('Turkey Shoot - players'!$B$2:$B$65,"="&amp;Table2[[#This Row],[tee time7]]),"")</f>
        <v/>
      </c>
      <c r="AP147" s="59" t="str">
        <f>_xlfn.IFNA(VLOOKUP(Table2[[#This Row],[tee time7]],'Stableford - groups'!$A$3:$F$20,6,FALSE),"")</f>
        <v/>
      </c>
      <c r="AQ147" s="11" t="str">
        <f>_xlfn.IFNA(VLOOKUP(Table2[[#This Row],[tee time7]],'Turkey Shoot - groups'!$A$3:$F$20,4,FALSE),"")</f>
        <v/>
      </c>
      <c r="AR147" s="13" t="str">
        <f>_xlfn.IFNA(VLOOKUP(Table2[[#This Row],[tee time7]],'Turkey Shoot - groups'!$A$3:$F$20,5,FALSE),"")</f>
        <v/>
      </c>
      <c r="AS147" s="68" t="str">
        <f>IF(AND(Table2[[#This Row],[gap7]]="NA",Table2[[#This Row],[round7]]&lt;4/24),0,IFERROR((MAX(starting_interval,IF(Table2[[#This Row],[gap7]]="NA",Table2[[#This Row],[avg gap]],Table2[[#This Row],[gap7]]))-starting_interval)*Table2[[#This Row],[followers7]]/Table2[[#This Row],[group size7]],""))</f>
        <v/>
      </c>
      <c r="AT147" s="72">
        <f>COUNT(Table2[[#This Row],[Tee time1]],Table2[[#This Row],[tee time2]],Table2[[#This Row],[tee time3]],Table2[[#This Row],[tee time4]],Table2[[#This Row],[tee time5]],Table2[[#This Row],[tee time6]],Table2[[#This Row],[tee time7]])</f>
        <v>0</v>
      </c>
      <c r="AU147" s="4" t="str">
        <f>IFERROR(AVERAGE(Table2[[#This Row],[Tee time1]],Table2[[#This Row],[tee time2]],Table2[[#This Row],[tee time3]],Table2[[#This Row],[tee time4]],Table2[[#This Row],[tee time5]],Table2[[#This Row],[tee time6]],Table2[[#This Row],[tee time7]]),"")</f>
        <v/>
      </c>
      <c r="AV147" s="11" t="str">
        <f>IFERROR(MEDIAN(Table2[[#This Row],[round1]],Table2[[#This Row],[Round2]],Table2[[#This Row],[round3]],Table2[[#This Row],[round4]],Table2[[#This Row],[round5]],Table2[[#This Row],[round6]],Table2[[#This Row],[round7]]),"")</f>
        <v/>
      </c>
      <c r="AW147" s="11" t="str">
        <f>IFERROR(AVERAGE(Table2[[#This Row],[gap1]],Table2[[#This Row],[gap2]],Table2[[#This Row],[gap3]],Table2[[#This Row],[gap4]],Table2[[#This Row],[gap5]],Table2[[#This Row],[gap6]],Table2[[#This Row],[gap7]]),"")</f>
        <v/>
      </c>
      <c r="AX147" s="9" t="str">
        <f>IFERROR((Table2[[#This Row],[avg gap]]-starting_interval)*24*60*Table2[[#This Row],[Count]],"NA")</f>
        <v>NA</v>
      </c>
      <c r="AY147"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47" s="2"/>
    </row>
    <row r="148" spans="1:52" hidden="1" x14ac:dyDescent="0.3">
      <c r="A148" s="10" t="s">
        <v>31</v>
      </c>
      <c r="B148" s="1" t="s">
        <v>269</v>
      </c>
      <c r="C148" s="19">
        <v>10.3</v>
      </c>
      <c r="D148" s="32" t="str">
        <f>_xlfn.IFNA(VLOOKUP(Table2[[#This Row],[Name]],'Classic day 1 - players'!$A$2:$B$64,2,FALSE),"")</f>
        <v/>
      </c>
      <c r="E148" s="33" t="str">
        <f>IF(Table2[[#This Row],[Tee time1]]&lt;&gt;"",COUNTIF('Classic day 1 - players'!$B$2:$B$64,"="&amp;Table2[[#This Row],[Tee time1]]),"")</f>
        <v/>
      </c>
      <c r="F148" s="4" t="str">
        <f>_xlfn.IFNA(VLOOKUP(Table2[[#This Row],[Tee time1]],'Classic day 1 - groups'!$A$3:$F$20,6,FALSE),"")</f>
        <v/>
      </c>
      <c r="G148" s="11" t="str">
        <f>_xlfn.IFNA(VLOOKUP(Table2[[#This Row],[Tee time1]],'Classic day 1 - groups'!$A$3:$F$20,4,FALSE),"")</f>
        <v/>
      </c>
      <c r="H148" s="12" t="str">
        <f>_xlfn.IFNA(VLOOKUP(Table2[[#This Row],[Tee time1]],'Classic day 1 - groups'!$A$3:$F$20,5,FALSE),"")</f>
        <v/>
      </c>
      <c r="I148" s="69" t="str">
        <f>IFERROR((MAX(starting_interval,IF(Table2[[#This Row],[gap1]]="NA",Table2[[#This Row],[avg gap]],Table2[[#This Row],[gap1]]))-starting_interval)*Table2[[#This Row],[followers1]]/Table2[[#This Row],[group size]],"")</f>
        <v/>
      </c>
      <c r="J148" s="32" t="str">
        <f>_xlfn.IFNA(VLOOKUP(Table2[[#This Row],[Name]],'Classic day 2 - players'!$A$2:$B$64,2,FALSE),"")</f>
        <v/>
      </c>
      <c r="K148" s="4" t="str">
        <f>IF(Table2[[#This Row],[tee time2]]&lt;&gt;"",COUNTIF('Classic day 2 - players'!$B$2:$B$64,"="&amp;Table2[[#This Row],[tee time2]]),"")</f>
        <v/>
      </c>
      <c r="L148" s="4" t="str">
        <f>_xlfn.IFNA(VLOOKUP(Table2[[#This Row],[tee time2]],'Classic day 2 - groups'!$A$3:$F$20,6,FALSE),"")</f>
        <v/>
      </c>
      <c r="M148" s="4" t="str">
        <f>_xlfn.IFNA(VLOOKUP(Table2[[#This Row],[tee time2]],'Classic day 2 - groups'!$A$3:$F$20,4,FALSE),"")</f>
        <v/>
      </c>
      <c r="N148" s="65" t="str">
        <f>_xlfn.IFNA(VLOOKUP(Table2[[#This Row],[tee time2]],'Classic day 2 - groups'!$A$3:$F$20,5,FALSE),"")</f>
        <v/>
      </c>
      <c r="O148" s="69" t="str">
        <f>IFERROR((MAX(starting_interval,IF(Table2[[#This Row],[gap2]]="NA",Table2[[#This Row],[avg gap]],Table2[[#This Row],[gap2]]))-starting_interval)*Table2[[#This Row],[followers2]]/Table2[[#This Row],[group size2]],"")</f>
        <v/>
      </c>
      <c r="P148" s="32" t="str">
        <f>_xlfn.IFNA(VLOOKUP(Table2[[#This Row],[Name]],'Summer FD - players'!$A$2:$B$65,2,FALSE),"")</f>
        <v/>
      </c>
      <c r="Q148" s="59" t="str">
        <f>IF(Table2[[#This Row],[tee time3]]&lt;&gt;"",COUNTIF('Summer FD - players'!$B$2:$B$65,"="&amp;Table2[[#This Row],[tee time3]]),"")</f>
        <v/>
      </c>
      <c r="R148" s="59" t="str">
        <f>_xlfn.IFNA(VLOOKUP(Table2[[#This Row],[tee time3]],'Summer FD - groups'!$A$3:$F$20,6,FALSE),"")</f>
        <v/>
      </c>
      <c r="S148" s="4" t="str">
        <f>_xlfn.IFNA(VLOOKUP(Table2[[#This Row],[tee time3]],'Summer FD - groups'!$A$3:$F$20,4,FALSE),"")</f>
        <v/>
      </c>
      <c r="T148" s="13" t="str">
        <f>_xlfn.IFNA(VLOOKUP(Table2[[#This Row],[tee time3]],'Summer FD - groups'!$A$3:$F$20,5,FALSE),"")</f>
        <v/>
      </c>
      <c r="U148" s="69" t="str">
        <f>IF(Table2[[#This Row],[avg gap]]&lt;&gt;"",IFERROR((MAX(starting_interval,IF(Table2[[#This Row],[gap3]]="NA",Table2[[#This Row],[avg gap]],Table2[[#This Row],[gap3]]))-starting_interval)*Table2[[#This Row],[followers3]]/Table2[[#This Row],[group size3]],""),"")</f>
        <v/>
      </c>
      <c r="V148" s="32" t="str">
        <f>_xlfn.IFNA(VLOOKUP(Table2[[#This Row],[Name]],'6-6-6 - players'!$A$2:$B$69,2,FALSE),"")</f>
        <v/>
      </c>
      <c r="W148" s="59" t="str">
        <f>IF(Table2[[#This Row],[tee time4]]&lt;&gt;"",COUNTIF('6-6-6 - players'!$B$2:$B$69,"="&amp;Table2[[#This Row],[tee time4]]),"")</f>
        <v/>
      </c>
      <c r="X148" s="59" t="str">
        <f>_xlfn.IFNA(VLOOKUP(Table2[[#This Row],[tee time4]],'6-6-6 - groups'!$A$3:$F$20,6,FALSE),"")</f>
        <v/>
      </c>
      <c r="Y148" s="4" t="str">
        <f>_xlfn.IFNA(VLOOKUP(Table2[[#This Row],[tee time4]],'6-6-6 - groups'!$A$3:$F$20,4,FALSE),"")</f>
        <v/>
      </c>
      <c r="Z148" s="13" t="str">
        <f>_xlfn.IFNA(VLOOKUP(Table2[[#This Row],[tee time4]],'6-6-6 - groups'!$A$3:$F$20,5,FALSE),"")</f>
        <v/>
      </c>
      <c r="AA148" s="69" t="str">
        <f>IF(Table2[[#This Row],[avg gap]]&lt;&gt;"",IFERROR((MAX(starting_interval,IF(Table2[[#This Row],[gap4]]="NA",Table2[[#This Row],[avg gap]],Table2[[#This Row],[gap4]]))-starting_interval)*Table2[[#This Row],[followers4]]/Table2[[#This Row],[group size4]],""),"")</f>
        <v/>
      </c>
      <c r="AB148" s="32" t="str">
        <f>_xlfn.IFNA(VLOOKUP(Table2[[#This Row],[Name]],'Fall FD - players'!$A$2:$B$65,2,FALSE),"")</f>
        <v/>
      </c>
      <c r="AC148" s="59" t="str">
        <f>IF(Table2[[#This Row],[tee time5]]&lt;&gt;"",COUNTIF('Fall FD - players'!$B$2:$B$65,"="&amp;Table2[[#This Row],[tee time5]]),"")</f>
        <v/>
      </c>
      <c r="AD148" s="59" t="str">
        <f>_xlfn.IFNA(VLOOKUP(Table2[[#This Row],[tee time5]],'Fall FD - groups'!$A$3:$F$20,6,FALSE),"")</f>
        <v/>
      </c>
      <c r="AE148" s="4" t="str">
        <f>_xlfn.IFNA(VLOOKUP(Table2[[#This Row],[tee time5]],'Fall FD - groups'!$A$3:$F$20,4,FALSE),"")</f>
        <v/>
      </c>
      <c r="AF148" s="13" t="str">
        <f>IFERROR(MIN(_xlfn.IFNA(VLOOKUP(Table2[[#This Row],[tee time5]],'Fall FD - groups'!$A$3:$F$20,5,FALSE),""),starting_interval + Table2[[#This Row],[round5]] - standard_round_time),"")</f>
        <v/>
      </c>
      <c r="AG148" s="69" t="str">
        <f>IF(AND(Table2[[#This Row],[gap5]]="NA",Table2[[#This Row],[round5]]&lt;4/24),0,IFERROR((MAX(starting_interval,IF(Table2[[#This Row],[gap5]]="NA",Table2[[#This Row],[avg gap]],Table2[[#This Row],[gap5]]))-starting_interval)*Table2[[#This Row],[followers5]]/Table2[[#This Row],[group size5]],""))</f>
        <v/>
      </c>
      <c r="AH148" s="32" t="str">
        <f>_xlfn.IFNA(VLOOKUP(Table2[[#This Row],[Name]],'Stableford - players'!$A$2:$B$65,2,FALSE),"")</f>
        <v/>
      </c>
      <c r="AI148" s="59" t="str">
        <f>IF(Table2[[#This Row],[tee time6]]&lt;&gt;"",COUNTIF('Stableford - players'!$B$2:$B$65,"="&amp;Table2[[#This Row],[tee time6]]),"")</f>
        <v/>
      </c>
      <c r="AJ148" s="59" t="str">
        <f>_xlfn.IFNA(VLOOKUP(Table2[[#This Row],[tee time6]],'Stableford - groups'!$A$3:$F$20,6,FALSE),"")</f>
        <v/>
      </c>
      <c r="AK148" s="11" t="str">
        <f>_xlfn.IFNA(VLOOKUP(Table2[[#This Row],[tee time6]],'Stableford - groups'!$A$3:$F$20,4,FALSE),"")</f>
        <v/>
      </c>
      <c r="AL148" s="13" t="str">
        <f>_xlfn.IFNA(VLOOKUP(Table2[[#This Row],[tee time6]],'Stableford - groups'!$A$3:$F$20,5,FALSE),"")</f>
        <v/>
      </c>
      <c r="AM148" s="68" t="str">
        <f>IF(AND(Table2[[#This Row],[gap6]]="NA",Table2[[#This Row],[round6]]&lt;4/24),0,IFERROR((MAX(starting_interval,IF(Table2[[#This Row],[gap6]]="NA",Table2[[#This Row],[avg gap]],Table2[[#This Row],[gap6]]))-starting_interval)*Table2[[#This Row],[followers6]]/Table2[[#This Row],[group size6]],""))</f>
        <v/>
      </c>
      <c r="AN148" s="32" t="str">
        <f>_xlfn.IFNA(VLOOKUP(Table2[[#This Row],[Name]],'Turkey Shoot - players'!$A$2:$B$65,2,FALSE),"")</f>
        <v/>
      </c>
      <c r="AO148" s="59" t="str">
        <f>IF(Table2[[#This Row],[tee time7]]&lt;&gt;"",COUNTIF('Turkey Shoot - players'!$B$2:$B$65,"="&amp;Table2[[#This Row],[tee time7]]),"")</f>
        <v/>
      </c>
      <c r="AP148" s="59" t="str">
        <f>_xlfn.IFNA(VLOOKUP(Table2[[#This Row],[tee time7]],'Stableford - groups'!$A$3:$F$20,6,FALSE),"")</f>
        <v/>
      </c>
      <c r="AQ148" s="11" t="str">
        <f>_xlfn.IFNA(VLOOKUP(Table2[[#This Row],[tee time7]],'Turkey Shoot - groups'!$A$3:$F$20,4,FALSE),"")</f>
        <v/>
      </c>
      <c r="AR148" s="13" t="str">
        <f>_xlfn.IFNA(VLOOKUP(Table2[[#This Row],[tee time7]],'Turkey Shoot - groups'!$A$3:$F$20,5,FALSE),"")</f>
        <v/>
      </c>
      <c r="AS148" s="68" t="str">
        <f>IF(AND(Table2[[#This Row],[gap7]]="NA",Table2[[#This Row],[round7]]&lt;4/24),0,IFERROR((MAX(starting_interval,IF(Table2[[#This Row],[gap7]]="NA",Table2[[#This Row],[avg gap]],Table2[[#This Row],[gap7]]))-starting_interval)*Table2[[#This Row],[followers7]]/Table2[[#This Row],[group size7]],""))</f>
        <v/>
      </c>
      <c r="AT148" s="72">
        <f>COUNT(Table2[[#This Row],[Tee time1]],Table2[[#This Row],[tee time2]],Table2[[#This Row],[tee time3]],Table2[[#This Row],[tee time4]],Table2[[#This Row],[tee time5]],Table2[[#This Row],[tee time6]],Table2[[#This Row],[tee time7]])</f>
        <v>0</v>
      </c>
      <c r="AU148" s="4" t="str">
        <f>IFERROR(AVERAGE(Table2[[#This Row],[Tee time1]],Table2[[#This Row],[tee time2]],Table2[[#This Row],[tee time3]],Table2[[#This Row],[tee time4]],Table2[[#This Row],[tee time5]],Table2[[#This Row],[tee time6]],Table2[[#This Row],[tee time7]]),"")</f>
        <v/>
      </c>
      <c r="AV148" s="11" t="str">
        <f>IFERROR(MEDIAN(Table2[[#This Row],[round1]],Table2[[#This Row],[Round2]],Table2[[#This Row],[round3]],Table2[[#This Row],[round4]],Table2[[#This Row],[round5]],Table2[[#This Row],[round6]],Table2[[#This Row],[round7]]),"")</f>
        <v/>
      </c>
      <c r="AW148" s="11" t="str">
        <f>IFERROR(AVERAGE(Table2[[#This Row],[gap1]],Table2[[#This Row],[gap2]],Table2[[#This Row],[gap3]],Table2[[#This Row],[gap4]],Table2[[#This Row],[gap5]],Table2[[#This Row],[gap6]],Table2[[#This Row],[gap7]]),"")</f>
        <v/>
      </c>
      <c r="AX148" s="9" t="str">
        <f>IFERROR((Table2[[#This Row],[avg gap]]-starting_interval)*24*60*Table2[[#This Row],[Count]],"NA")</f>
        <v>NA</v>
      </c>
      <c r="AY148"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48" s="2"/>
    </row>
    <row r="149" spans="1:52" hidden="1" x14ac:dyDescent="0.3">
      <c r="A149" s="10" t="s">
        <v>32</v>
      </c>
      <c r="B149" s="1" t="s">
        <v>270</v>
      </c>
      <c r="C149" s="19">
        <v>12.2</v>
      </c>
      <c r="D149" s="32" t="str">
        <f>_xlfn.IFNA(VLOOKUP(Table2[[#This Row],[Name]],'Classic day 1 - players'!$A$2:$B$64,2,FALSE),"")</f>
        <v/>
      </c>
      <c r="E149" s="33" t="str">
        <f>IF(Table2[[#This Row],[Tee time1]]&lt;&gt;"",COUNTIF('Classic day 1 - players'!$B$2:$B$64,"="&amp;Table2[[#This Row],[Tee time1]]),"")</f>
        <v/>
      </c>
      <c r="F149" s="4" t="str">
        <f>_xlfn.IFNA(VLOOKUP(Table2[[#This Row],[Tee time1]],'Classic day 1 - groups'!$A$3:$F$20,6,FALSE),"")</f>
        <v/>
      </c>
      <c r="G149" s="11" t="str">
        <f>_xlfn.IFNA(VLOOKUP(Table2[[#This Row],[Tee time1]],'Classic day 1 - groups'!$A$3:$F$20,4,FALSE),"")</f>
        <v/>
      </c>
      <c r="H149" s="12" t="str">
        <f>_xlfn.IFNA(VLOOKUP(Table2[[#This Row],[Tee time1]],'Classic day 1 - groups'!$A$3:$F$20,5,FALSE),"")</f>
        <v/>
      </c>
      <c r="I149" s="69" t="str">
        <f>IFERROR((MAX(starting_interval,IF(Table2[[#This Row],[gap1]]="NA",Table2[[#This Row],[avg gap]],Table2[[#This Row],[gap1]]))-starting_interval)*Table2[[#This Row],[followers1]]/Table2[[#This Row],[group size]],"")</f>
        <v/>
      </c>
      <c r="J149" s="32" t="str">
        <f>_xlfn.IFNA(VLOOKUP(Table2[[#This Row],[Name]],'Classic day 2 - players'!$A$2:$B$64,2,FALSE),"")</f>
        <v/>
      </c>
      <c r="K149" s="4" t="str">
        <f>IF(Table2[[#This Row],[tee time2]]&lt;&gt;"",COUNTIF('Classic day 2 - players'!$B$2:$B$64,"="&amp;Table2[[#This Row],[tee time2]]),"")</f>
        <v/>
      </c>
      <c r="L149" s="4" t="str">
        <f>_xlfn.IFNA(VLOOKUP(Table2[[#This Row],[tee time2]],'Classic day 2 - groups'!$A$3:$F$20,6,FALSE),"")</f>
        <v/>
      </c>
      <c r="M149" s="4" t="str">
        <f>_xlfn.IFNA(VLOOKUP(Table2[[#This Row],[tee time2]],'Classic day 2 - groups'!$A$3:$F$20,4,FALSE),"")</f>
        <v/>
      </c>
      <c r="N149" s="65" t="str">
        <f>_xlfn.IFNA(VLOOKUP(Table2[[#This Row],[tee time2]],'Classic day 2 - groups'!$A$3:$F$20,5,FALSE),"")</f>
        <v/>
      </c>
      <c r="O149" s="69" t="str">
        <f>IFERROR((MAX(starting_interval,IF(Table2[[#This Row],[gap2]]="NA",Table2[[#This Row],[avg gap]],Table2[[#This Row],[gap2]]))-starting_interval)*Table2[[#This Row],[followers2]]/Table2[[#This Row],[group size2]],"")</f>
        <v/>
      </c>
      <c r="P149" s="32" t="str">
        <f>_xlfn.IFNA(VLOOKUP(Table2[[#This Row],[Name]],'Summer FD - players'!$A$2:$B$65,2,FALSE),"")</f>
        <v/>
      </c>
      <c r="Q149" s="59" t="str">
        <f>IF(Table2[[#This Row],[tee time3]]&lt;&gt;"",COUNTIF('Summer FD - players'!$B$2:$B$65,"="&amp;Table2[[#This Row],[tee time3]]),"")</f>
        <v/>
      </c>
      <c r="R149" s="59" t="str">
        <f>_xlfn.IFNA(VLOOKUP(Table2[[#This Row],[tee time3]],'Summer FD - groups'!$A$3:$F$20,6,FALSE),"")</f>
        <v/>
      </c>
      <c r="S149" s="4" t="str">
        <f>_xlfn.IFNA(VLOOKUP(Table2[[#This Row],[tee time3]],'Summer FD - groups'!$A$3:$F$20,4,FALSE),"")</f>
        <v/>
      </c>
      <c r="T149" s="13" t="str">
        <f>_xlfn.IFNA(VLOOKUP(Table2[[#This Row],[tee time3]],'Summer FD - groups'!$A$3:$F$20,5,FALSE),"")</f>
        <v/>
      </c>
      <c r="U149" s="69" t="str">
        <f>IF(Table2[[#This Row],[avg gap]]&lt;&gt;"",IFERROR((MAX(starting_interval,IF(Table2[[#This Row],[gap3]]="NA",Table2[[#This Row],[avg gap]],Table2[[#This Row],[gap3]]))-starting_interval)*Table2[[#This Row],[followers3]]/Table2[[#This Row],[group size3]],""),"")</f>
        <v/>
      </c>
      <c r="V149" s="32" t="str">
        <f>_xlfn.IFNA(VLOOKUP(Table2[[#This Row],[Name]],'6-6-6 - players'!$A$2:$B$69,2,FALSE),"")</f>
        <v/>
      </c>
      <c r="W149" s="59" t="str">
        <f>IF(Table2[[#This Row],[tee time4]]&lt;&gt;"",COUNTIF('6-6-6 - players'!$B$2:$B$69,"="&amp;Table2[[#This Row],[tee time4]]),"")</f>
        <v/>
      </c>
      <c r="X149" s="59" t="str">
        <f>_xlfn.IFNA(VLOOKUP(Table2[[#This Row],[tee time4]],'6-6-6 - groups'!$A$3:$F$20,6,FALSE),"")</f>
        <v/>
      </c>
      <c r="Y149" s="4" t="str">
        <f>_xlfn.IFNA(VLOOKUP(Table2[[#This Row],[tee time4]],'6-6-6 - groups'!$A$3:$F$20,4,FALSE),"")</f>
        <v/>
      </c>
      <c r="Z149" s="13" t="str">
        <f>_xlfn.IFNA(VLOOKUP(Table2[[#This Row],[tee time4]],'6-6-6 - groups'!$A$3:$F$20,5,FALSE),"")</f>
        <v/>
      </c>
      <c r="AA149" s="69" t="str">
        <f>IF(Table2[[#This Row],[avg gap]]&lt;&gt;"",IFERROR((MAX(starting_interval,IF(Table2[[#This Row],[gap4]]="NA",Table2[[#This Row],[avg gap]],Table2[[#This Row],[gap4]]))-starting_interval)*Table2[[#This Row],[followers4]]/Table2[[#This Row],[group size4]],""),"")</f>
        <v/>
      </c>
      <c r="AB149" s="32" t="str">
        <f>_xlfn.IFNA(VLOOKUP(Table2[[#This Row],[Name]],'Fall FD - players'!$A$2:$B$65,2,FALSE),"")</f>
        <v/>
      </c>
      <c r="AC149" s="59" t="str">
        <f>IF(Table2[[#This Row],[tee time5]]&lt;&gt;"",COUNTIF('Fall FD - players'!$B$2:$B$65,"="&amp;Table2[[#This Row],[tee time5]]),"")</f>
        <v/>
      </c>
      <c r="AD149" s="59" t="str">
        <f>_xlfn.IFNA(VLOOKUP(Table2[[#This Row],[tee time5]],'Fall FD - groups'!$A$3:$F$20,6,FALSE),"")</f>
        <v/>
      </c>
      <c r="AE149" s="4" t="str">
        <f>_xlfn.IFNA(VLOOKUP(Table2[[#This Row],[tee time5]],'Fall FD - groups'!$A$3:$F$20,4,FALSE),"")</f>
        <v/>
      </c>
      <c r="AF149" s="13" t="str">
        <f>IFERROR(MIN(_xlfn.IFNA(VLOOKUP(Table2[[#This Row],[tee time5]],'Fall FD - groups'!$A$3:$F$20,5,FALSE),""),starting_interval + Table2[[#This Row],[round5]] - standard_round_time),"")</f>
        <v/>
      </c>
      <c r="AG149" s="69" t="str">
        <f>IF(AND(Table2[[#This Row],[gap5]]="NA",Table2[[#This Row],[round5]]&lt;4/24),0,IFERROR((MAX(starting_interval,IF(Table2[[#This Row],[gap5]]="NA",Table2[[#This Row],[avg gap]],Table2[[#This Row],[gap5]]))-starting_interval)*Table2[[#This Row],[followers5]]/Table2[[#This Row],[group size5]],""))</f>
        <v/>
      </c>
      <c r="AH149" s="32" t="str">
        <f>_xlfn.IFNA(VLOOKUP(Table2[[#This Row],[Name]],'Stableford - players'!$A$2:$B$65,2,FALSE),"")</f>
        <v/>
      </c>
      <c r="AI149" s="59" t="str">
        <f>IF(Table2[[#This Row],[tee time6]]&lt;&gt;"",COUNTIF('Stableford - players'!$B$2:$B$65,"="&amp;Table2[[#This Row],[tee time6]]),"")</f>
        <v/>
      </c>
      <c r="AJ149" s="59" t="str">
        <f>_xlfn.IFNA(VLOOKUP(Table2[[#This Row],[tee time6]],'Stableford - groups'!$A$3:$F$20,6,FALSE),"")</f>
        <v/>
      </c>
      <c r="AK149" s="11" t="str">
        <f>_xlfn.IFNA(VLOOKUP(Table2[[#This Row],[tee time6]],'Stableford - groups'!$A$3:$F$20,4,FALSE),"")</f>
        <v/>
      </c>
      <c r="AL149" s="13" t="str">
        <f>_xlfn.IFNA(VLOOKUP(Table2[[#This Row],[tee time6]],'Stableford - groups'!$A$3:$F$20,5,FALSE),"")</f>
        <v/>
      </c>
      <c r="AM149" s="68" t="str">
        <f>IF(AND(Table2[[#This Row],[gap6]]="NA",Table2[[#This Row],[round6]]&lt;4/24),0,IFERROR((MAX(starting_interval,IF(Table2[[#This Row],[gap6]]="NA",Table2[[#This Row],[avg gap]],Table2[[#This Row],[gap6]]))-starting_interval)*Table2[[#This Row],[followers6]]/Table2[[#This Row],[group size6]],""))</f>
        <v/>
      </c>
      <c r="AN149" s="32" t="str">
        <f>_xlfn.IFNA(VLOOKUP(Table2[[#This Row],[Name]],'Turkey Shoot - players'!$A$2:$B$65,2,FALSE),"")</f>
        <v/>
      </c>
      <c r="AO149" s="59" t="str">
        <f>IF(Table2[[#This Row],[tee time7]]&lt;&gt;"",COUNTIF('Turkey Shoot - players'!$B$2:$B$65,"="&amp;Table2[[#This Row],[tee time7]]),"")</f>
        <v/>
      </c>
      <c r="AP149" s="59" t="str">
        <f>_xlfn.IFNA(VLOOKUP(Table2[[#This Row],[tee time7]],'Stableford - groups'!$A$3:$F$20,6,FALSE),"")</f>
        <v/>
      </c>
      <c r="AQ149" s="11" t="str">
        <f>_xlfn.IFNA(VLOOKUP(Table2[[#This Row],[tee time7]],'Turkey Shoot - groups'!$A$3:$F$20,4,FALSE),"")</f>
        <v/>
      </c>
      <c r="AR149" s="13" t="str">
        <f>_xlfn.IFNA(VLOOKUP(Table2[[#This Row],[tee time7]],'Turkey Shoot - groups'!$A$3:$F$20,5,FALSE),"")</f>
        <v/>
      </c>
      <c r="AS149" s="68" t="str">
        <f>IF(AND(Table2[[#This Row],[gap7]]="NA",Table2[[#This Row],[round7]]&lt;4/24),0,IFERROR((MAX(starting_interval,IF(Table2[[#This Row],[gap7]]="NA",Table2[[#This Row],[avg gap]],Table2[[#This Row],[gap7]]))-starting_interval)*Table2[[#This Row],[followers7]]/Table2[[#This Row],[group size7]],""))</f>
        <v/>
      </c>
      <c r="AT149" s="72">
        <f>COUNT(Table2[[#This Row],[Tee time1]],Table2[[#This Row],[tee time2]],Table2[[#This Row],[tee time3]],Table2[[#This Row],[tee time4]],Table2[[#This Row],[tee time5]],Table2[[#This Row],[tee time6]],Table2[[#This Row],[tee time7]])</f>
        <v>0</v>
      </c>
      <c r="AU149" s="4" t="str">
        <f>IFERROR(AVERAGE(Table2[[#This Row],[Tee time1]],Table2[[#This Row],[tee time2]],Table2[[#This Row],[tee time3]],Table2[[#This Row],[tee time4]],Table2[[#This Row],[tee time5]],Table2[[#This Row],[tee time6]],Table2[[#This Row],[tee time7]]),"")</f>
        <v/>
      </c>
      <c r="AV149" s="11" t="str">
        <f>IFERROR(MEDIAN(Table2[[#This Row],[round1]],Table2[[#This Row],[Round2]],Table2[[#This Row],[round3]],Table2[[#This Row],[round4]],Table2[[#This Row],[round5]],Table2[[#This Row],[round6]],Table2[[#This Row],[round7]]),"")</f>
        <v/>
      </c>
      <c r="AW149" s="11" t="str">
        <f>IFERROR(AVERAGE(Table2[[#This Row],[gap1]],Table2[[#This Row],[gap2]],Table2[[#This Row],[gap3]],Table2[[#This Row],[gap4]],Table2[[#This Row],[gap5]],Table2[[#This Row],[gap6]],Table2[[#This Row],[gap7]]),"")</f>
        <v/>
      </c>
      <c r="AX149" s="9" t="str">
        <f>IFERROR((Table2[[#This Row],[avg gap]]-starting_interval)*24*60*Table2[[#This Row],[Count]],"NA")</f>
        <v>NA</v>
      </c>
      <c r="AY149"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49" s="2"/>
    </row>
    <row r="150" spans="1:52" hidden="1" x14ac:dyDescent="0.3">
      <c r="A150" s="10" t="s">
        <v>33</v>
      </c>
      <c r="B150" s="1" t="s">
        <v>271</v>
      </c>
      <c r="C150" s="19">
        <v>12.5</v>
      </c>
      <c r="D150" s="32" t="str">
        <f>_xlfn.IFNA(VLOOKUP(Table2[[#This Row],[Name]],'Classic day 1 - players'!$A$2:$B$64,2,FALSE),"")</f>
        <v/>
      </c>
      <c r="E150" s="33" t="str">
        <f>IF(Table2[[#This Row],[Tee time1]]&lt;&gt;"",COUNTIF('Classic day 1 - players'!$B$2:$B$64,"="&amp;Table2[[#This Row],[Tee time1]]),"")</f>
        <v/>
      </c>
      <c r="F150" s="4" t="str">
        <f>_xlfn.IFNA(VLOOKUP(Table2[[#This Row],[Tee time1]],'Classic day 1 - groups'!$A$3:$F$20,6,FALSE),"")</f>
        <v/>
      </c>
      <c r="G150" s="11" t="str">
        <f>_xlfn.IFNA(VLOOKUP(Table2[[#This Row],[Tee time1]],'Classic day 1 - groups'!$A$3:$F$20,4,FALSE),"")</f>
        <v/>
      </c>
      <c r="H150" s="12" t="str">
        <f>_xlfn.IFNA(VLOOKUP(Table2[[#This Row],[Tee time1]],'Classic day 1 - groups'!$A$3:$F$20,5,FALSE),"")</f>
        <v/>
      </c>
      <c r="I150" s="69" t="str">
        <f>IFERROR((MAX(starting_interval,IF(Table2[[#This Row],[gap1]]="NA",Table2[[#This Row],[avg gap]],Table2[[#This Row],[gap1]]))-starting_interval)*Table2[[#This Row],[followers1]]/Table2[[#This Row],[group size]],"")</f>
        <v/>
      </c>
      <c r="J150" s="32" t="str">
        <f>_xlfn.IFNA(VLOOKUP(Table2[[#This Row],[Name]],'Classic day 2 - players'!$A$2:$B$64,2,FALSE),"")</f>
        <v/>
      </c>
      <c r="K150" s="4" t="str">
        <f>IF(Table2[[#This Row],[tee time2]]&lt;&gt;"",COUNTIF('Classic day 2 - players'!$B$2:$B$64,"="&amp;Table2[[#This Row],[tee time2]]),"")</f>
        <v/>
      </c>
      <c r="L150" s="4" t="str">
        <f>_xlfn.IFNA(VLOOKUP(Table2[[#This Row],[tee time2]],'Classic day 2 - groups'!$A$3:$F$20,6,FALSE),"")</f>
        <v/>
      </c>
      <c r="M150" s="4" t="str">
        <f>_xlfn.IFNA(VLOOKUP(Table2[[#This Row],[tee time2]],'Classic day 2 - groups'!$A$3:$F$20,4,FALSE),"")</f>
        <v/>
      </c>
      <c r="N150" s="65" t="str">
        <f>_xlfn.IFNA(VLOOKUP(Table2[[#This Row],[tee time2]],'Classic day 2 - groups'!$A$3:$F$20,5,FALSE),"")</f>
        <v/>
      </c>
      <c r="O150" s="69" t="str">
        <f>IFERROR((MAX(starting_interval,IF(Table2[[#This Row],[gap2]]="NA",Table2[[#This Row],[avg gap]],Table2[[#This Row],[gap2]]))-starting_interval)*Table2[[#This Row],[followers2]]/Table2[[#This Row],[group size2]],"")</f>
        <v/>
      </c>
      <c r="P150" s="32" t="str">
        <f>_xlfn.IFNA(VLOOKUP(Table2[[#This Row],[Name]],'Summer FD - players'!$A$2:$B$65,2,FALSE),"")</f>
        <v/>
      </c>
      <c r="Q150" s="59" t="str">
        <f>IF(Table2[[#This Row],[tee time3]]&lt;&gt;"",COUNTIF('Summer FD - players'!$B$2:$B$65,"="&amp;Table2[[#This Row],[tee time3]]),"")</f>
        <v/>
      </c>
      <c r="R150" s="59" t="str">
        <f>_xlfn.IFNA(VLOOKUP(Table2[[#This Row],[tee time3]],'Summer FD - groups'!$A$3:$F$20,6,FALSE),"")</f>
        <v/>
      </c>
      <c r="S150" s="4" t="str">
        <f>_xlfn.IFNA(VLOOKUP(Table2[[#This Row],[tee time3]],'Summer FD - groups'!$A$3:$F$20,4,FALSE),"")</f>
        <v/>
      </c>
      <c r="T150" s="13" t="str">
        <f>_xlfn.IFNA(VLOOKUP(Table2[[#This Row],[tee time3]],'Summer FD - groups'!$A$3:$F$20,5,FALSE),"")</f>
        <v/>
      </c>
      <c r="U150" s="69" t="str">
        <f>IF(Table2[[#This Row],[avg gap]]&lt;&gt;"",IFERROR((MAX(starting_interval,IF(Table2[[#This Row],[gap3]]="NA",Table2[[#This Row],[avg gap]],Table2[[#This Row],[gap3]]))-starting_interval)*Table2[[#This Row],[followers3]]/Table2[[#This Row],[group size3]],""),"")</f>
        <v/>
      </c>
      <c r="V150" s="32" t="str">
        <f>_xlfn.IFNA(VLOOKUP(Table2[[#This Row],[Name]],'6-6-6 - players'!$A$2:$B$69,2,FALSE),"")</f>
        <v/>
      </c>
      <c r="W150" s="59" t="str">
        <f>IF(Table2[[#This Row],[tee time4]]&lt;&gt;"",COUNTIF('6-6-6 - players'!$B$2:$B$69,"="&amp;Table2[[#This Row],[tee time4]]),"")</f>
        <v/>
      </c>
      <c r="X150" s="59" t="str">
        <f>_xlfn.IFNA(VLOOKUP(Table2[[#This Row],[tee time4]],'6-6-6 - groups'!$A$3:$F$20,6,FALSE),"")</f>
        <v/>
      </c>
      <c r="Y150" s="4" t="str">
        <f>_xlfn.IFNA(VLOOKUP(Table2[[#This Row],[tee time4]],'6-6-6 - groups'!$A$3:$F$20,4,FALSE),"")</f>
        <v/>
      </c>
      <c r="Z150" s="13" t="str">
        <f>_xlfn.IFNA(VLOOKUP(Table2[[#This Row],[tee time4]],'6-6-6 - groups'!$A$3:$F$20,5,FALSE),"")</f>
        <v/>
      </c>
      <c r="AA150" s="69" t="str">
        <f>IF(Table2[[#This Row],[avg gap]]&lt;&gt;"",IFERROR((MAX(starting_interval,IF(Table2[[#This Row],[gap4]]="NA",Table2[[#This Row],[avg gap]],Table2[[#This Row],[gap4]]))-starting_interval)*Table2[[#This Row],[followers4]]/Table2[[#This Row],[group size4]],""),"")</f>
        <v/>
      </c>
      <c r="AB150" s="32" t="str">
        <f>_xlfn.IFNA(VLOOKUP(Table2[[#This Row],[Name]],'Fall FD - players'!$A$2:$B$65,2,FALSE),"")</f>
        <v/>
      </c>
      <c r="AC150" s="59" t="str">
        <f>IF(Table2[[#This Row],[tee time5]]&lt;&gt;"",COUNTIF('Fall FD - players'!$B$2:$B$65,"="&amp;Table2[[#This Row],[tee time5]]),"")</f>
        <v/>
      </c>
      <c r="AD150" s="59" t="str">
        <f>_xlfn.IFNA(VLOOKUP(Table2[[#This Row],[tee time5]],'Fall FD - groups'!$A$3:$F$20,6,FALSE),"")</f>
        <v/>
      </c>
      <c r="AE150" s="4" t="str">
        <f>_xlfn.IFNA(VLOOKUP(Table2[[#This Row],[tee time5]],'Fall FD - groups'!$A$3:$F$20,4,FALSE),"")</f>
        <v/>
      </c>
      <c r="AF150" s="13" t="str">
        <f>IFERROR(MIN(_xlfn.IFNA(VLOOKUP(Table2[[#This Row],[tee time5]],'Fall FD - groups'!$A$3:$F$20,5,FALSE),""),starting_interval + Table2[[#This Row],[round5]] - standard_round_time),"")</f>
        <v/>
      </c>
      <c r="AG150" s="69" t="str">
        <f>IF(AND(Table2[[#This Row],[gap5]]="NA",Table2[[#This Row],[round5]]&lt;4/24),0,IFERROR((MAX(starting_interval,IF(Table2[[#This Row],[gap5]]="NA",Table2[[#This Row],[avg gap]],Table2[[#This Row],[gap5]]))-starting_interval)*Table2[[#This Row],[followers5]]/Table2[[#This Row],[group size5]],""))</f>
        <v/>
      </c>
      <c r="AH150" s="32" t="str">
        <f>_xlfn.IFNA(VLOOKUP(Table2[[#This Row],[Name]],'Stableford - players'!$A$2:$B$65,2,FALSE),"")</f>
        <v/>
      </c>
      <c r="AI150" s="59" t="str">
        <f>IF(Table2[[#This Row],[tee time6]]&lt;&gt;"",COUNTIF('Stableford - players'!$B$2:$B$65,"="&amp;Table2[[#This Row],[tee time6]]),"")</f>
        <v/>
      </c>
      <c r="AJ150" s="59" t="str">
        <f>_xlfn.IFNA(VLOOKUP(Table2[[#This Row],[tee time6]],'Stableford - groups'!$A$3:$F$20,6,FALSE),"")</f>
        <v/>
      </c>
      <c r="AK150" s="11" t="str">
        <f>_xlfn.IFNA(VLOOKUP(Table2[[#This Row],[tee time6]],'Stableford - groups'!$A$3:$F$20,4,FALSE),"")</f>
        <v/>
      </c>
      <c r="AL150" s="13" t="str">
        <f>_xlfn.IFNA(VLOOKUP(Table2[[#This Row],[tee time6]],'Stableford - groups'!$A$3:$F$20,5,FALSE),"")</f>
        <v/>
      </c>
      <c r="AM150" s="68" t="str">
        <f>IF(AND(Table2[[#This Row],[gap6]]="NA",Table2[[#This Row],[round6]]&lt;4/24),0,IFERROR((MAX(starting_interval,IF(Table2[[#This Row],[gap6]]="NA",Table2[[#This Row],[avg gap]],Table2[[#This Row],[gap6]]))-starting_interval)*Table2[[#This Row],[followers6]]/Table2[[#This Row],[group size6]],""))</f>
        <v/>
      </c>
      <c r="AN150" s="32" t="str">
        <f>_xlfn.IFNA(VLOOKUP(Table2[[#This Row],[Name]],'Turkey Shoot - players'!$A$2:$B$65,2,FALSE),"")</f>
        <v/>
      </c>
      <c r="AO150" s="59" t="str">
        <f>IF(Table2[[#This Row],[tee time7]]&lt;&gt;"",COUNTIF('Turkey Shoot - players'!$B$2:$B$65,"="&amp;Table2[[#This Row],[tee time7]]),"")</f>
        <v/>
      </c>
      <c r="AP150" s="59" t="str">
        <f>_xlfn.IFNA(VLOOKUP(Table2[[#This Row],[tee time7]],'Stableford - groups'!$A$3:$F$20,6,FALSE),"")</f>
        <v/>
      </c>
      <c r="AQ150" s="11" t="str">
        <f>_xlfn.IFNA(VLOOKUP(Table2[[#This Row],[tee time7]],'Turkey Shoot - groups'!$A$3:$F$20,4,FALSE),"")</f>
        <v/>
      </c>
      <c r="AR150" s="13" t="str">
        <f>_xlfn.IFNA(VLOOKUP(Table2[[#This Row],[tee time7]],'Turkey Shoot - groups'!$A$3:$F$20,5,FALSE),"")</f>
        <v/>
      </c>
      <c r="AS150" s="68" t="str">
        <f>IF(AND(Table2[[#This Row],[gap7]]="NA",Table2[[#This Row],[round7]]&lt;4/24),0,IFERROR((MAX(starting_interval,IF(Table2[[#This Row],[gap7]]="NA",Table2[[#This Row],[avg gap]],Table2[[#This Row],[gap7]]))-starting_interval)*Table2[[#This Row],[followers7]]/Table2[[#This Row],[group size7]],""))</f>
        <v/>
      </c>
      <c r="AT150" s="72">
        <f>COUNT(Table2[[#This Row],[Tee time1]],Table2[[#This Row],[tee time2]],Table2[[#This Row],[tee time3]],Table2[[#This Row],[tee time4]],Table2[[#This Row],[tee time5]],Table2[[#This Row],[tee time6]],Table2[[#This Row],[tee time7]])</f>
        <v>0</v>
      </c>
      <c r="AU150" s="4" t="str">
        <f>IFERROR(AVERAGE(Table2[[#This Row],[Tee time1]],Table2[[#This Row],[tee time2]],Table2[[#This Row],[tee time3]],Table2[[#This Row],[tee time4]],Table2[[#This Row],[tee time5]],Table2[[#This Row],[tee time6]],Table2[[#This Row],[tee time7]]),"")</f>
        <v/>
      </c>
      <c r="AV150" s="11" t="str">
        <f>IFERROR(MEDIAN(Table2[[#This Row],[round1]],Table2[[#This Row],[Round2]],Table2[[#This Row],[round3]],Table2[[#This Row],[round4]],Table2[[#This Row],[round5]],Table2[[#This Row],[round6]],Table2[[#This Row],[round7]]),"")</f>
        <v/>
      </c>
      <c r="AW150" s="11" t="str">
        <f>IFERROR(AVERAGE(Table2[[#This Row],[gap1]],Table2[[#This Row],[gap2]],Table2[[#This Row],[gap3]],Table2[[#This Row],[gap4]],Table2[[#This Row],[gap5]],Table2[[#This Row],[gap6]],Table2[[#This Row],[gap7]]),"")</f>
        <v/>
      </c>
      <c r="AX150" s="9" t="str">
        <f>IFERROR((Table2[[#This Row],[avg gap]]-starting_interval)*24*60*Table2[[#This Row],[Count]],"NA")</f>
        <v>NA</v>
      </c>
      <c r="AY150"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50" s="2"/>
    </row>
    <row r="151" spans="1:52" hidden="1" x14ac:dyDescent="0.3">
      <c r="A151" s="10" t="s">
        <v>36</v>
      </c>
      <c r="B151" s="1" t="s">
        <v>274</v>
      </c>
      <c r="C151" s="19">
        <v>24.9</v>
      </c>
      <c r="D151" s="32" t="str">
        <f>_xlfn.IFNA(VLOOKUP(Table2[[#This Row],[Name]],'Classic day 1 - players'!$A$2:$B$64,2,FALSE),"")</f>
        <v/>
      </c>
      <c r="E151" s="33" t="str">
        <f>IF(Table2[[#This Row],[Tee time1]]&lt;&gt;"",COUNTIF('Classic day 1 - players'!$B$2:$B$64,"="&amp;Table2[[#This Row],[Tee time1]]),"")</f>
        <v/>
      </c>
      <c r="F151" s="4" t="str">
        <f>_xlfn.IFNA(VLOOKUP(Table2[[#This Row],[Tee time1]],'Classic day 1 - groups'!$A$3:$F$20,6,FALSE),"")</f>
        <v/>
      </c>
      <c r="G151" s="11" t="str">
        <f>_xlfn.IFNA(VLOOKUP(Table2[[#This Row],[Tee time1]],'Classic day 1 - groups'!$A$3:$F$20,4,FALSE),"")</f>
        <v/>
      </c>
      <c r="H151" s="12" t="str">
        <f>_xlfn.IFNA(VLOOKUP(Table2[[#This Row],[Tee time1]],'Classic day 1 - groups'!$A$3:$F$20,5,FALSE),"")</f>
        <v/>
      </c>
      <c r="I151" s="69" t="str">
        <f>IFERROR((MAX(starting_interval,IF(Table2[[#This Row],[gap1]]="NA",Table2[[#This Row],[avg gap]],Table2[[#This Row],[gap1]]))-starting_interval)*Table2[[#This Row],[followers1]]/Table2[[#This Row],[group size]],"")</f>
        <v/>
      </c>
      <c r="J151" s="32" t="str">
        <f>_xlfn.IFNA(VLOOKUP(Table2[[#This Row],[Name]],'Classic day 2 - players'!$A$2:$B$64,2,FALSE),"")</f>
        <v/>
      </c>
      <c r="K151" s="4" t="str">
        <f>IF(Table2[[#This Row],[tee time2]]&lt;&gt;"",COUNTIF('Classic day 2 - players'!$B$2:$B$64,"="&amp;Table2[[#This Row],[tee time2]]),"")</f>
        <v/>
      </c>
      <c r="L151" s="4" t="str">
        <f>_xlfn.IFNA(VLOOKUP(Table2[[#This Row],[tee time2]],'Classic day 2 - groups'!$A$3:$F$20,6,FALSE),"")</f>
        <v/>
      </c>
      <c r="M151" s="4" t="str">
        <f>_xlfn.IFNA(VLOOKUP(Table2[[#This Row],[tee time2]],'Classic day 2 - groups'!$A$3:$F$20,4,FALSE),"")</f>
        <v/>
      </c>
      <c r="N151" s="65" t="str">
        <f>_xlfn.IFNA(VLOOKUP(Table2[[#This Row],[tee time2]],'Classic day 2 - groups'!$A$3:$F$20,5,FALSE),"")</f>
        <v/>
      </c>
      <c r="O151" s="69" t="str">
        <f>IFERROR((MAX(starting_interval,IF(Table2[[#This Row],[gap2]]="NA",Table2[[#This Row],[avg gap]],Table2[[#This Row],[gap2]]))-starting_interval)*Table2[[#This Row],[followers2]]/Table2[[#This Row],[group size2]],"")</f>
        <v/>
      </c>
      <c r="P151" s="32" t="str">
        <f>_xlfn.IFNA(VLOOKUP(Table2[[#This Row],[Name]],'Summer FD - players'!$A$2:$B$65,2,FALSE),"")</f>
        <v/>
      </c>
      <c r="Q151" s="59" t="str">
        <f>IF(Table2[[#This Row],[tee time3]]&lt;&gt;"",COUNTIF('Summer FD - players'!$B$2:$B$65,"="&amp;Table2[[#This Row],[tee time3]]),"")</f>
        <v/>
      </c>
      <c r="R151" s="59" t="str">
        <f>_xlfn.IFNA(VLOOKUP(Table2[[#This Row],[tee time3]],'Summer FD - groups'!$A$3:$F$20,6,FALSE),"")</f>
        <v/>
      </c>
      <c r="S151" s="4" t="str">
        <f>_xlfn.IFNA(VLOOKUP(Table2[[#This Row],[tee time3]],'Summer FD - groups'!$A$3:$F$20,4,FALSE),"")</f>
        <v/>
      </c>
      <c r="T151" s="13" t="str">
        <f>_xlfn.IFNA(VLOOKUP(Table2[[#This Row],[tee time3]],'Summer FD - groups'!$A$3:$F$20,5,FALSE),"")</f>
        <v/>
      </c>
      <c r="U151" s="69" t="str">
        <f>IF(Table2[[#This Row],[avg gap]]&lt;&gt;"",IFERROR((MAX(starting_interval,IF(Table2[[#This Row],[gap3]]="NA",Table2[[#This Row],[avg gap]],Table2[[#This Row],[gap3]]))-starting_interval)*Table2[[#This Row],[followers3]]/Table2[[#This Row],[group size3]],""),"")</f>
        <v/>
      </c>
      <c r="V151" s="32" t="str">
        <f>_xlfn.IFNA(VLOOKUP(Table2[[#This Row],[Name]],'6-6-6 - players'!$A$2:$B$69,2,FALSE),"")</f>
        <v/>
      </c>
      <c r="W151" s="59" t="str">
        <f>IF(Table2[[#This Row],[tee time4]]&lt;&gt;"",COUNTIF('6-6-6 - players'!$B$2:$B$69,"="&amp;Table2[[#This Row],[tee time4]]),"")</f>
        <v/>
      </c>
      <c r="X151" s="59" t="str">
        <f>_xlfn.IFNA(VLOOKUP(Table2[[#This Row],[tee time4]],'6-6-6 - groups'!$A$3:$F$20,6,FALSE),"")</f>
        <v/>
      </c>
      <c r="Y151" s="4" t="str">
        <f>_xlfn.IFNA(VLOOKUP(Table2[[#This Row],[tee time4]],'6-6-6 - groups'!$A$3:$F$20,4,FALSE),"")</f>
        <v/>
      </c>
      <c r="Z151" s="13" t="str">
        <f>_xlfn.IFNA(VLOOKUP(Table2[[#This Row],[tee time4]],'6-6-6 - groups'!$A$3:$F$20,5,FALSE),"")</f>
        <v/>
      </c>
      <c r="AA151" s="69" t="str">
        <f>IF(Table2[[#This Row],[avg gap]]&lt;&gt;"",IFERROR((MAX(starting_interval,IF(Table2[[#This Row],[gap4]]="NA",Table2[[#This Row],[avg gap]],Table2[[#This Row],[gap4]]))-starting_interval)*Table2[[#This Row],[followers4]]/Table2[[#This Row],[group size4]],""),"")</f>
        <v/>
      </c>
      <c r="AB151" s="32" t="str">
        <f>_xlfn.IFNA(VLOOKUP(Table2[[#This Row],[Name]],'Fall FD - players'!$A$2:$B$65,2,FALSE),"")</f>
        <v/>
      </c>
      <c r="AC151" s="59" t="str">
        <f>IF(Table2[[#This Row],[tee time5]]&lt;&gt;"",COUNTIF('Fall FD - players'!$B$2:$B$65,"="&amp;Table2[[#This Row],[tee time5]]),"")</f>
        <v/>
      </c>
      <c r="AD151" s="59" t="str">
        <f>_xlfn.IFNA(VLOOKUP(Table2[[#This Row],[tee time5]],'Fall FD - groups'!$A$3:$F$20,6,FALSE),"")</f>
        <v/>
      </c>
      <c r="AE151" s="4" t="str">
        <f>_xlfn.IFNA(VLOOKUP(Table2[[#This Row],[tee time5]],'Fall FD - groups'!$A$3:$F$20,4,FALSE),"")</f>
        <v/>
      </c>
      <c r="AF151" s="13" t="str">
        <f>IFERROR(MIN(_xlfn.IFNA(VLOOKUP(Table2[[#This Row],[tee time5]],'Fall FD - groups'!$A$3:$F$20,5,FALSE),""),starting_interval + Table2[[#This Row],[round5]] - standard_round_time),"")</f>
        <v/>
      </c>
      <c r="AG151" s="69" t="str">
        <f>IF(AND(Table2[[#This Row],[gap5]]="NA",Table2[[#This Row],[round5]]&lt;4/24),0,IFERROR((MAX(starting_interval,IF(Table2[[#This Row],[gap5]]="NA",Table2[[#This Row],[avg gap]],Table2[[#This Row],[gap5]]))-starting_interval)*Table2[[#This Row],[followers5]]/Table2[[#This Row],[group size5]],""))</f>
        <v/>
      </c>
      <c r="AH151" s="32" t="str">
        <f>_xlfn.IFNA(VLOOKUP(Table2[[#This Row],[Name]],'Stableford - players'!$A$2:$B$65,2,FALSE),"")</f>
        <v/>
      </c>
      <c r="AI151" s="59" t="str">
        <f>IF(Table2[[#This Row],[tee time6]]&lt;&gt;"",COUNTIF('Stableford - players'!$B$2:$B$65,"="&amp;Table2[[#This Row],[tee time6]]),"")</f>
        <v/>
      </c>
      <c r="AJ151" s="59" t="str">
        <f>_xlfn.IFNA(VLOOKUP(Table2[[#This Row],[tee time6]],'Stableford - groups'!$A$3:$F$20,6,FALSE),"")</f>
        <v/>
      </c>
      <c r="AK151" s="11" t="str">
        <f>_xlfn.IFNA(VLOOKUP(Table2[[#This Row],[tee time6]],'Stableford - groups'!$A$3:$F$20,4,FALSE),"")</f>
        <v/>
      </c>
      <c r="AL151" s="13" t="str">
        <f>_xlfn.IFNA(VLOOKUP(Table2[[#This Row],[tee time6]],'Stableford - groups'!$A$3:$F$20,5,FALSE),"")</f>
        <v/>
      </c>
      <c r="AM151" s="68" t="str">
        <f>IF(AND(Table2[[#This Row],[gap6]]="NA",Table2[[#This Row],[round6]]&lt;4/24),0,IFERROR((MAX(starting_interval,IF(Table2[[#This Row],[gap6]]="NA",Table2[[#This Row],[avg gap]],Table2[[#This Row],[gap6]]))-starting_interval)*Table2[[#This Row],[followers6]]/Table2[[#This Row],[group size6]],""))</f>
        <v/>
      </c>
      <c r="AN151" s="32" t="str">
        <f>_xlfn.IFNA(VLOOKUP(Table2[[#This Row],[Name]],'Turkey Shoot - players'!$A$2:$B$65,2,FALSE),"")</f>
        <v/>
      </c>
      <c r="AO151" s="59" t="str">
        <f>IF(Table2[[#This Row],[tee time7]]&lt;&gt;"",COUNTIF('Turkey Shoot - players'!$B$2:$B$65,"="&amp;Table2[[#This Row],[tee time7]]),"")</f>
        <v/>
      </c>
      <c r="AP151" s="59" t="str">
        <f>_xlfn.IFNA(VLOOKUP(Table2[[#This Row],[tee time7]],'Stableford - groups'!$A$3:$F$20,6,FALSE),"")</f>
        <v/>
      </c>
      <c r="AQ151" s="11" t="str">
        <f>_xlfn.IFNA(VLOOKUP(Table2[[#This Row],[tee time7]],'Turkey Shoot - groups'!$A$3:$F$20,4,FALSE),"")</f>
        <v/>
      </c>
      <c r="AR151" s="13" t="str">
        <f>_xlfn.IFNA(VLOOKUP(Table2[[#This Row],[tee time7]],'Turkey Shoot - groups'!$A$3:$F$20,5,FALSE),"")</f>
        <v/>
      </c>
      <c r="AS151" s="68" t="str">
        <f>IF(AND(Table2[[#This Row],[gap7]]="NA",Table2[[#This Row],[round7]]&lt;4/24),0,IFERROR((MAX(starting_interval,IF(Table2[[#This Row],[gap7]]="NA",Table2[[#This Row],[avg gap]],Table2[[#This Row],[gap7]]))-starting_interval)*Table2[[#This Row],[followers7]]/Table2[[#This Row],[group size7]],""))</f>
        <v/>
      </c>
      <c r="AT151" s="72">
        <f>COUNT(Table2[[#This Row],[Tee time1]],Table2[[#This Row],[tee time2]],Table2[[#This Row],[tee time3]],Table2[[#This Row],[tee time4]],Table2[[#This Row],[tee time5]],Table2[[#This Row],[tee time6]],Table2[[#This Row],[tee time7]])</f>
        <v>0</v>
      </c>
      <c r="AU151" s="4" t="str">
        <f>IFERROR(AVERAGE(Table2[[#This Row],[Tee time1]],Table2[[#This Row],[tee time2]],Table2[[#This Row],[tee time3]],Table2[[#This Row],[tee time4]],Table2[[#This Row],[tee time5]],Table2[[#This Row],[tee time6]],Table2[[#This Row],[tee time7]]),"")</f>
        <v/>
      </c>
      <c r="AV151" s="11" t="str">
        <f>IFERROR(MEDIAN(Table2[[#This Row],[round1]],Table2[[#This Row],[Round2]],Table2[[#This Row],[round3]],Table2[[#This Row],[round4]],Table2[[#This Row],[round5]],Table2[[#This Row],[round6]],Table2[[#This Row],[round7]]),"")</f>
        <v/>
      </c>
      <c r="AW151" s="11" t="str">
        <f>IFERROR(AVERAGE(Table2[[#This Row],[gap1]],Table2[[#This Row],[gap2]],Table2[[#This Row],[gap3]],Table2[[#This Row],[gap4]],Table2[[#This Row],[gap5]],Table2[[#This Row],[gap6]],Table2[[#This Row],[gap7]]),"")</f>
        <v/>
      </c>
      <c r="AX151" s="9" t="str">
        <f>IFERROR((Table2[[#This Row],[avg gap]]-starting_interval)*24*60*Table2[[#This Row],[Count]],"NA")</f>
        <v>NA</v>
      </c>
      <c r="AY151"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51" s="2"/>
    </row>
    <row r="152" spans="1:52" hidden="1" x14ac:dyDescent="0.3">
      <c r="A152" s="10" t="s">
        <v>37</v>
      </c>
      <c r="B152" s="1" t="s">
        <v>275</v>
      </c>
      <c r="C152" s="19">
        <v>3.8</v>
      </c>
      <c r="D152" s="32" t="str">
        <f>_xlfn.IFNA(VLOOKUP(Table2[[#This Row],[Name]],'Classic day 1 - players'!$A$2:$B$64,2,FALSE),"")</f>
        <v/>
      </c>
      <c r="E152" s="33" t="str">
        <f>IF(Table2[[#This Row],[Tee time1]]&lt;&gt;"",COUNTIF('Classic day 1 - players'!$B$2:$B$64,"="&amp;Table2[[#This Row],[Tee time1]]),"")</f>
        <v/>
      </c>
      <c r="F152" s="4" t="str">
        <f>_xlfn.IFNA(VLOOKUP(Table2[[#This Row],[Tee time1]],'Classic day 1 - groups'!$A$3:$F$20,6,FALSE),"")</f>
        <v/>
      </c>
      <c r="G152" s="11" t="str">
        <f>_xlfn.IFNA(VLOOKUP(Table2[[#This Row],[Tee time1]],'Classic day 1 - groups'!$A$3:$F$20,4,FALSE),"")</f>
        <v/>
      </c>
      <c r="H152" s="12" t="str">
        <f>_xlfn.IFNA(VLOOKUP(Table2[[#This Row],[Tee time1]],'Classic day 1 - groups'!$A$3:$F$20,5,FALSE),"")</f>
        <v/>
      </c>
      <c r="I152" s="69" t="str">
        <f>IFERROR((MAX(starting_interval,IF(Table2[[#This Row],[gap1]]="NA",Table2[[#This Row],[avg gap]],Table2[[#This Row],[gap1]]))-starting_interval)*Table2[[#This Row],[followers1]]/Table2[[#This Row],[group size]],"")</f>
        <v/>
      </c>
      <c r="J152" s="32" t="str">
        <f>_xlfn.IFNA(VLOOKUP(Table2[[#This Row],[Name]],'Classic day 2 - players'!$A$2:$B$64,2,FALSE),"")</f>
        <v/>
      </c>
      <c r="K152" s="4" t="str">
        <f>IF(Table2[[#This Row],[tee time2]]&lt;&gt;"",COUNTIF('Classic day 2 - players'!$B$2:$B$64,"="&amp;Table2[[#This Row],[tee time2]]),"")</f>
        <v/>
      </c>
      <c r="L152" s="4" t="str">
        <f>_xlfn.IFNA(VLOOKUP(Table2[[#This Row],[tee time2]],'Classic day 2 - groups'!$A$3:$F$20,6,FALSE),"")</f>
        <v/>
      </c>
      <c r="M152" s="4" t="str">
        <f>_xlfn.IFNA(VLOOKUP(Table2[[#This Row],[tee time2]],'Classic day 2 - groups'!$A$3:$F$20,4,FALSE),"")</f>
        <v/>
      </c>
      <c r="N152" s="65" t="str">
        <f>_xlfn.IFNA(VLOOKUP(Table2[[#This Row],[tee time2]],'Classic day 2 - groups'!$A$3:$F$20,5,FALSE),"")</f>
        <v/>
      </c>
      <c r="O152" s="69" t="str">
        <f>IFERROR((MAX(starting_interval,IF(Table2[[#This Row],[gap2]]="NA",Table2[[#This Row],[avg gap]],Table2[[#This Row],[gap2]]))-starting_interval)*Table2[[#This Row],[followers2]]/Table2[[#This Row],[group size2]],"")</f>
        <v/>
      </c>
      <c r="P152" s="32" t="str">
        <f>_xlfn.IFNA(VLOOKUP(Table2[[#This Row],[Name]],'Summer FD - players'!$A$2:$B$65,2,FALSE),"")</f>
        <v/>
      </c>
      <c r="Q152" s="59" t="str">
        <f>IF(Table2[[#This Row],[tee time3]]&lt;&gt;"",COUNTIF('Summer FD - players'!$B$2:$B$65,"="&amp;Table2[[#This Row],[tee time3]]),"")</f>
        <v/>
      </c>
      <c r="R152" s="59" t="str">
        <f>_xlfn.IFNA(VLOOKUP(Table2[[#This Row],[tee time3]],'Summer FD - groups'!$A$3:$F$20,6,FALSE),"")</f>
        <v/>
      </c>
      <c r="S152" s="4" t="str">
        <f>_xlfn.IFNA(VLOOKUP(Table2[[#This Row],[tee time3]],'Summer FD - groups'!$A$3:$F$20,4,FALSE),"")</f>
        <v/>
      </c>
      <c r="T152" s="13" t="str">
        <f>_xlfn.IFNA(VLOOKUP(Table2[[#This Row],[tee time3]],'Summer FD - groups'!$A$3:$F$20,5,FALSE),"")</f>
        <v/>
      </c>
      <c r="U152" s="69" t="str">
        <f>IF(Table2[[#This Row],[avg gap]]&lt;&gt;"",IFERROR((MAX(starting_interval,IF(Table2[[#This Row],[gap3]]="NA",Table2[[#This Row],[avg gap]],Table2[[#This Row],[gap3]]))-starting_interval)*Table2[[#This Row],[followers3]]/Table2[[#This Row],[group size3]],""),"")</f>
        <v/>
      </c>
      <c r="V152" s="32" t="str">
        <f>_xlfn.IFNA(VLOOKUP(Table2[[#This Row],[Name]],'6-6-6 - players'!$A$2:$B$69,2,FALSE),"")</f>
        <v/>
      </c>
      <c r="W152" s="59" t="str">
        <f>IF(Table2[[#This Row],[tee time4]]&lt;&gt;"",COUNTIF('6-6-6 - players'!$B$2:$B$69,"="&amp;Table2[[#This Row],[tee time4]]),"")</f>
        <v/>
      </c>
      <c r="X152" s="59" t="str">
        <f>_xlfn.IFNA(VLOOKUP(Table2[[#This Row],[tee time4]],'6-6-6 - groups'!$A$3:$F$20,6,FALSE),"")</f>
        <v/>
      </c>
      <c r="Y152" s="4" t="str">
        <f>_xlfn.IFNA(VLOOKUP(Table2[[#This Row],[tee time4]],'6-6-6 - groups'!$A$3:$F$20,4,FALSE),"")</f>
        <v/>
      </c>
      <c r="Z152" s="13" t="str">
        <f>_xlfn.IFNA(VLOOKUP(Table2[[#This Row],[tee time4]],'6-6-6 - groups'!$A$3:$F$20,5,FALSE),"")</f>
        <v/>
      </c>
      <c r="AA152" s="69" t="str">
        <f>IF(Table2[[#This Row],[avg gap]]&lt;&gt;"",IFERROR((MAX(starting_interval,IF(Table2[[#This Row],[gap4]]="NA",Table2[[#This Row],[avg gap]],Table2[[#This Row],[gap4]]))-starting_interval)*Table2[[#This Row],[followers4]]/Table2[[#This Row],[group size4]],""),"")</f>
        <v/>
      </c>
      <c r="AB152" s="32" t="str">
        <f>_xlfn.IFNA(VLOOKUP(Table2[[#This Row],[Name]],'Fall FD - players'!$A$2:$B$65,2,FALSE),"")</f>
        <v/>
      </c>
      <c r="AC152" s="59" t="str">
        <f>IF(Table2[[#This Row],[tee time5]]&lt;&gt;"",COUNTIF('Fall FD - players'!$B$2:$B$65,"="&amp;Table2[[#This Row],[tee time5]]),"")</f>
        <v/>
      </c>
      <c r="AD152" s="59" t="str">
        <f>_xlfn.IFNA(VLOOKUP(Table2[[#This Row],[tee time5]],'Fall FD - groups'!$A$3:$F$20,6,FALSE),"")</f>
        <v/>
      </c>
      <c r="AE152" s="4" t="str">
        <f>_xlfn.IFNA(VLOOKUP(Table2[[#This Row],[tee time5]],'Fall FD - groups'!$A$3:$F$20,4,FALSE),"")</f>
        <v/>
      </c>
      <c r="AF152" s="13" t="str">
        <f>IFERROR(MIN(_xlfn.IFNA(VLOOKUP(Table2[[#This Row],[tee time5]],'Fall FD - groups'!$A$3:$F$20,5,FALSE),""),starting_interval + Table2[[#This Row],[round5]] - standard_round_time),"")</f>
        <v/>
      </c>
      <c r="AG152" s="69" t="str">
        <f>IF(AND(Table2[[#This Row],[gap5]]="NA",Table2[[#This Row],[round5]]&lt;4/24),0,IFERROR((MAX(starting_interval,IF(Table2[[#This Row],[gap5]]="NA",Table2[[#This Row],[avg gap]],Table2[[#This Row],[gap5]]))-starting_interval)*Table2[[#This Row],[followers5]]/Table2[[#This Row],[group size5]],""))</f>
        <v/>
      </c>
      <c r="AH152" s="32" t="str">
        <f>_xlfn.IFNA(VLOOKUP(Table2[[#This Row],[Name]],'Stableford - players'!$A$2:$B$65,2,FALSE),"")</f>
        <v/>
      </c>
      <c r="AI152" s="59" t="str">
        <f>IF(Table2[[#This Row],[tee time6]]&lt;&gt;"",COUNTIF('Stableford - players'!$B$2:$B$65,"="&amp;Table2[[#This Row],[tee time6]]),"")</f>
        <v/>
      </c>
      <c r="AJ152" s="59" t="str">
        <f>_xlfn.IFNA(VLOOKUP(Table2[[#This Row],[tee time6]],'Stableford - groups'!$A$3:$F$20,6,FALSE),"")</f>
        <v/>
      </c>
      <c r="AK152" s="11" t="str">
        <f>_xlfn.IFNA(VLOOKUP(Table2[[#This Row],[tee time6]],'Stableford - groups'!$A$3:$F$20,4,FALSE),"")</f>
        <v/>
      </c>
      <c r="AL152" s="13" t="str">
        <f>_xlfn.IFNA(VLOOKUP(Table2[[#This Row],[tee time6]],'Stableford - groups'!$A$3:$F$20,5,FALSE),"")</f>
        <v/>
      </c>
      <c r="AM152" s="68" t="str">
        <f>IF(AND(Table2[[#This Row],[gap6]]="NA",Table2[[#This Row],[round6]]&lt;4/24),0,IFERROR((MAX(starting_interval,IF(Table2[[#This Row],[gap6]]="NA",Table2[[#This Row],[avg gap]],Table2[[#This Row],[gap6]]))-starting_interval)*Table2[[#This Row],[followers6]]/Table2[[#This Row],[group size6]],""))</f>
        <v/>
      </c>
      <c r="AN152" s="32" t="str">
        <f>_xlfn.IFNA(VLOOKUP(Table2[[#This Row],[Name]],'Turkey Shoot - players'!$A$2:$B$65,2,FALSE),"")</f>
        <v/>
      </c>
      <c r="AO152" s="59" t="str">
        <f>IF(Table2[[#This Row],[tee time7]]&lt;&gt;"",COUNTIF('Turkey Shoot - players'!$B$2:$B$65,"="&amp;Table2[[#This Row],[tee time7]]),"")</f>
        <v/>
      </c>
      <c r="AP152" s="59" t="str">
        <f>_xlfn.IFNA(VLOOKUP(Table2[[#This Row],[tee time7]],'Stableford - groups'!$A$3:$F$20,6,FALSE),"")</f>
        <v/>
      </c>
      <c r="AQ152" s="11" t="str">
        <f>_xlfn.IFNA(VLOOKUP(Table2[[#This Row],[tee time7]],'Turkey Shoot - groups'!$A$3:$F$20,4,FALSE),"")</f>
        <v/>
      </c>
      <c r="AR152" s="13" t="str">
        <f>_xlfn.IFNA(VLOOKUP(Table2[[#This Row],[tee time7]],'Turkey Shoot - groups'!$A$3:$F$20,5,FALSE),"")</f>
        <v/>
      </c>
      <c r="AS152" s="68" t="str">
        <f>IF(AND(Table2[[#This Row],[gap7]]="NA",Table2[[#This Row],[round7]]&lt;4/24),0,IFERROR((MAX(starting_interval,IF(Table2[[#This Row],[gap7]]="NA",Table2[[#This Row],[avg gap]],Table2[[#This Row],[gap7]]))-starting_interval)*Table2[[#This Row],[followers7]]/Table2[[#This Row],[group size7]],""))</f>
        <v/>
      </c>
      <c r="AT152" s="72">
        <f>COUNT(Table2[[#This Row],[Tee time1]],Table2[[#This Row],[tee time2]],Table2[[#This Row],[tee time3]],Table2[[#This Row],[tee time4]],Table2[[#This Row],[tee time5]],Table2[[#This Row],[tee time6]],Table2[[#This Row],[tee time7]])</f>
        <v>0</v>
      </c>
      <c r="AU152" s="4" t="str">
        <f>IFERROR(AVERAGE(Table2[[#This Row],[Tee time1]],Table2[[#This Row],[tee time2]],Table2[[#This Row],[tee time3]],Table2[[#This Row],[tee time4]],Table2[[#This Row],[tee time5]],Table2[[#This Row],[tee time6]],Table2[[#This Row],[tee time7]]),"")</f>
        <v/>
      </c>
      <c r="AV152" s="11" t="str">
        <f>IFERROR(MEDIAN(Table2[[#This Row],[round1]],Table2[[#This Row],[Round2]],Table2[[#This Row],[round3]],Table2[[#This Row],[round4]],Table2[[#This Row],[round5]],Table2[[#This Row],[round6]],Table2[[#This Row],[round7]]),"")</f>
        <v/>
      </c>
      <c r="AW152" s="11" t="str">
        <f>IFERROR(AVERAGE(Table2[[#This Row],[gap1]],Table2[[#This Row],[gap2]],Table2[[#This Row],[gap3]],Table2[[#This Row],[gap4]],Table2[[#This Row],[gap5]],Table2[[#This Row],[gap6]],Table2[[#This Row],[gap7]]),"")</f>
        <v/>
      </c>
      <c r="AX152" s="9" t="str">
        <f>IFERROR((Table2[[#This Row],[avg gap]]-starting_interval)*24*60*Table2[[#This Row],[Count]],"NA")</f>
        <v>NA</v>
      </c>
      <c r="AY152"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52" s="2"/>
    </row>
    <row r="153" spans="1:52" hidden="1" x14ac:dyDescent="0.3">
      <c r="A153" s="10" t="s">
        <v>38</v>
      </c>
      <c r="B153" s="1" t="s">
        <v>276</v>
      </c>
      <c r="C153" s="19">
        <v>24.4</v>
      </c>
      <c r="D153" s="32" t="str">
        <f>_xlfn.IFNA(VLOOKUP(Table2[[#This Row],[Name]],'Classic day 1 - players'!$A$2:$B$64,2,FALSE),"")</f>
        <v/>
      </c>
      <c r="E153" s="33" t="str">
        <f>IF(Table2[[#This Row],[Tee time1]]&lt;&gt;"",COUNTIF('Classic day 1 - players'!$B$2:$B$64,"="&amp;Table2[[#This Row],[Tee time1]]),"")</f>
        <v/>
      </c>
      <c r="F153" s="4" t="str">
        <f>_xlfn.IFNA(VLOOKUP(Table2[[#This Row],[Tee time1]],'Classic day 1 - groups'!$A$3:$F$20,6,FALSE),"")</f>
        <v/>
      </c>
      <c r="G153" s="11" t="str">
        <f>_xlfn.IFNA(VLOOKUP(Table2[[#This Row],[Tee time1]],'Classic day 1 - groups'!$A$3:$F$20,4,FALSE),"")</f>
        <v/>
      </c>
      <c r="H153" s="12" t="str">
        <f>_xlfn.IFNA(VLOOKUP(Table2[[#This Row],[Tee time1]],'Classic day 1 - groups'!$A$3:$F$20,5,FALSE),"")</f>
        <v/>
      </c>
      <c r="I153" s="69" t="str">
        <f>IFERROR((MAX(starting_interval,IF(Table2[[#This Row],[gap1]]="NA",Table2[[#This Row],[avg gap]],Table2[[#This Row],[gap1]]))-starting_interval)*Table2[[#This Row],[followers1]]/Table2[[#This Row],[group size]],"")</f>
        <v/>
      </c>
      <c r="J153" s="32" t="str">
        <f>_xlfn.IFNA(VLOOKUP(Table2[[#This Row],[Name]],'Classic day 2 - players'!$A$2:$B$64,2,FALSE),"")</f>
        <v/>
      </c>
      <c r="K153" s="4" t="str">
        <f>IF(Table2[[#This Row],[tee time2]]&lt;&gt;"",COUNTIF('Classic day 2 - players'!$B$2:$B$64,"="&amp;Table2[[#This Row],[tee time2]]),"")</f>
        <v/>
      </c>
      <c r="L153" s="4" t="str">
        <f>_xlfn.IFNA(VLOOKUP(Table2[[#This Row],[tee time2]],'Classic day 2 - groups'!$A$3:$F$20,6,FALSE),"")</f>
        <v/>
      </c>
      <c r="M153" s="4" t="str">
        <f>_xlfn.IFNA(VLOOKUP(Table2[[#This Row],[tee time2]],'Classic day 2 - groups'!$A$3:$F$20,4,FALSE),"")</f>
        <v/>
      </c>
      <c r="N153" s="65" t="str">
        <f>_xlfn.IFNA(VLOOKUP(Table2[[#This Row],[tee time2]],'Classic day 2 - groups'!$A$3:$F$20,5,FALSE),"")</f>
        <v/>
      </c>
      <c r="O153" s="69" t="str">
        <f>IFERROR((MAX(starting_interval,IF(Table2[[#This Row],[gap2]]="NA",Table2[[#This Row],[avg gap]],Table2[[#This Row],[gap2]]))-starting_interval)*Table2[[#This Row],[followers2]]/Table2[[#This Row],[group size2]],"")</f>
        <v/>
      </c>
      <c r="P153" s="32" t="str">
        <f>_xlfn.IFNA(VLOOKUP(Table2[[#This Row],[Name]],'Summer FD - players'!$A$2:$B$65,2,FALSE),"")</f>
        <v/>
      </c>
      <c r="Q153" s="59" t="str">
        <f>IF(Table2[[#This Row],[tee time3]]&lt;&gt;"",COUNTIF('Summer FD - players'!$B$2:$B$65,"="&amp;Table2[[#This Row],[tee time3]]),"")</f>
        <v/>
      </c>
      <c r="R153" s="59" t="str">
        <f>_xlfn.IFNA(VLOOKUP(Table2[[#This Row],[tee time3]],'Summer FD - groups'!$A$3:$F$20,6,FALSE),"")</f>
        <v/>
      </c>
      <c r="S153" s="4" t="str">
        <f>_xlfn.IFNA(VLOOKUP(Table2[[#This Row],[tee time3]],'Summer FD - groups'!$A$3:$F$20,4,FALSE),"")</f>
        <v/>
      </c>
      <c r="T153" s="13" t="str">
        <f>_xlfn.IFNA(VLOOKUP(Table2[[#This Row],[tee time3]],'Summer FD - groups'!$A$3:$F$20,5,FALSE),"")</f>
        <v/>
      </c>
      <c r="U153" s="69" t="str">
        <f>IF(Table2[[#This Row],[avg gap]]&lt;&gt;"",IFERROR((MAX(starting_interval,IF(Table2[[#This Row],[gap3]]="NA",Table2[[#This Row],[avg gap]],Table2[[#This Row],[gap3]]))-starting_interval)*Table2[[#This Row],[followers3]]/Table2[[#This Row],[group size3]],""),"")</f>
        <v/>
      </c>
      <c r="V153" s="32" t="str">
        <f>_xlfn.IFNA(VLOOKUP(Table2[[#This Row],[Name]],'6-6-6 - players'!$A$2:$B$69,2,FALSE),"")</f>
        <v/>
      </c>
      <c r="W153" s="59" t="str">
        <f>IF(Table2[[#This Row],[tee time4]]&lt;&gt;"",COUNTIF('6-6-6 - players'!$B$2:$B$69,"="&amp;Table2[[#This Row],[tee time4]]),"")</f>
        <v/>
      </c>
      <c r="X153" s="59" t="str">
        <f>_xlfn.IFNA(VLOOKUP(Table2[[#This Row],[tee time4]],'6-6-6 - groups'!$A$3:$F$20,6,FALSE),"")</f>
        <v/>
      </c>
      <c r="Y153" s="4" t="str">
        <f>_xlfn.IFNA(VLOOKUP(Table2[[#This Row],[tee time4]],'6-6-6 - groups'!$A$3:$F$20,4,FALSE),"")</f>
        <v/>
      </c>
      <c r="Z153" s="13" t="str">
        <f>_xlfn.IFNA(VLOOKUP(Table2[[#This Row],[tee time4]],'6-6-6 - groups'!$A$3:$F$20,5,FALSE),"")</f>
        <v/>
      </c>
      <c r="AA153" s="69" t="str">
        <f>IF(Table2[[#This Row],[avg gap]]&lt;&gt;"",IFERROR((MAX(starting_interval,IF(Table2[[#This Row],[gap4]]="NA",Table2[[#This Row],[avg gap]],Table2[[#This Row],[gap4]]))-starting_interval)*Table2[[#This Row],[followers4]]/Table2[[#This Row],[group size4]],""),"")</f>
        <v/>
      </c>
      <c r="AB153" s="32" t="str">
        <f>_xlfn.IFNA(VLOOKUP(Table2[[#This Row],[Name]],'Fall FD - players'!$A$2:$B$65,2,FALSE),"")</f>
        <v/>
      </c>
      <c r="AC153" s="59" t="str">
        <f>IF(Table2[[#This Row],[tee time5]]&lt;&gt;"",COUNTIF('Fall FD - players'!$B$2:$B$65,"="&amp;Table2[[#This Row],[tee time5]]),"")</f>
        <v/>
      </c>
      <c r="AD153" s="59" t="str">
        <f>_xlfn.IFNA(VLOOKUP(Table2[[#This Row],[tee time5]],'Fall FD - groups'!$A$3:$F$20,6,FALSE),"")</f>
        <v/>
      </c>
      <c r="AE153" s="4" t="str">
        <f>_xlfn.IFNA(VLOOKUP(Table2[[#This Row],[tee time5]],'Fall FD - groups'!$A$3:$F$20,4,FALSE),"")</f>
        <v/>
      </c>
      <c r="AF153" s="13" t="str">
        <f>IFERROR(MIN(_xlfn.IFNA(VLOOKUP(Table2[[#This Row],[tee time5]],'Fall FD - groups'!$A$3:$F$20,5,FALSE),""),starting_interval + Table2[[#This Row],[round5]] - standard_round_time),"")</f>
        <v/>
      </c>
      <c r="AG153" s="69" t="str">
        <f>IF(AND(Table2[[#This Row],[gap5]]="NA",Table2[[#This Row],[round5]]&lt;4/24),0,IFERROR((MAX(starting_interval,IF(Table2[[#This Row],[gap5]]="NA",Table2[[#This Row],[avg gap]],Table2[[#This Row],[gap5]]))-starting_interval)*Table2[[#This Row],[followers5]]/Table2[[#This Row],[group size5]],""))</f>
        <v/>
      </c>
      <c r="AH153" s="32" t="str">
        <f>_xlfn.IFNA(VLOOKUP(Table2[[#This Row],[Name]],'Stableford - players'!$A$2:$B$65,2,FALSE),"")</f>
        <v/>
      </c>
      <c r="AI153" s="59" t="str">
        <f>IF(Table2[[#This Row],[tee time6]]&lt;&gt;"",COUNTIF('Stableford - players'!$B$2:$B$65,"="&amp;Table2[[#This Row],[tee time6]]),"")</f>
        <v/>
      </c>
      <c r="AJ153" s="59" t="str">
        <f>_xlfn.IFNA(VLOOKUP(Table2[[#This Row],[tee time6]],'Stableford - groups'!$A$3:$F$20,6,FALSE),"")</f>
        <v/>
      </c>
      <c r="AK153" s="11" t="str">
        <f>_xlfn.IFNA(VLOOKUP(Table2[[#This Row],[tee time6]],'Stableford - groups'!$A$3:$F$20,4,FALSE),"")</f>
        <v/>
      </c>
      <c r="AL153" s="13" t="str">
        <f>_xlfn.IFNA(VLOOKUP(Table2[[#This Row],[tee time6]],'Stableford - groups'!$A$3:$F$20,5,FALSE),"")</f>
        <v/>
      </c>
      <c r="AM153" s="68" t="str">
        <f>IF(AND(Table2[[#This Row],[gap6]]="NA",Table2[[#This Row],[round6]]&lt;4/24),0,IFERROR((MAX(starting_interval,IF(Table2[[#This Row],[gap6]]="NA",Table2[[#This Row],[avg gap]],Table2[[#This Row],[gap6]]))-starting_interval)*Table2[[#This Row],[followers6]]/Table2[[#This Row],[group size6]],""))</f>
        <v/>
      </c>
      <c r="AN153" s="32" t="str">
        <f>_xlfn.IFNA(VLOOKUP(Table2[[#This Row],[Name]],'Turkey Shoot - players'!$A$2:$B$65,2,FALSE),"")</f>
        <v/>
      </c>
      <c r="AO153" s="59" t="str">
        <f>IF(Table2[[#This Row],[tee time7]]&lt;&gt;"",COUNTIF('Turkey Shoot - players'!$B$2:$B$65,"="&amp;Table2[[#This Row],[tee time7]]),"")</f>
        <v/>
      </c>
      <c r="AP153" s="59" t="str">
        <f>_xlfn.IFNA(VLOOKUP(Table2[[#This Row],[tee time7]],'Stableford - groups'!$A$3:$F$20,6,FALSE),"")</f>
        <v/>
      </c>
      <c r="AQ153" s="11" t="str">
        <f>_xlfn.IFNA(VLOOKUP(Table2[[#This Row],[tee time7]],'Turkey Shoot - groups'!$A$3:$F$20,4,FALSE),"")</f>
        <v/>
      </c>
      <c r="AR153" s="13" t="str">
        <f>_xlfn.IFNA(VLOOKUP(Table2[[#This Row],[tee time7]],'Turkey Shoot - groups'!$A$3:$F$20,5,FALSE),"")</f>
        <v/>
      </c>
      <c r="AS153" s="68" t="str">
        <f>IF(AND(Table2[[#This Row],[gap7]]="NA",Table2[[#This Row],[round7]]&lt;4/24),0,IFERROR((MAX(starting_interval,IF(Table2[[#This Row],[gap7]]="NA",Table2[[#This Row],[avg gap]],Table2[[#This Row],[gap7]]))-starting_interval)*Table2[[#This Row],[followers7]]/Table2[[#This Row],[group size7]],""))</f>
        <v/>
      </c>
      <c r="AT153" s="72">
        <f>COUNT(Table2[[#This Row],[Tee time1]],Table2[[#This Row],[tee time2]],Table2[[#This Row],[tee time3]],Table2[[#This Row],[tee time4]],Table2[[#This Row],[tee time5]],Table2[[#This Row],[tee time6]],Table2[[#This Row],[tee time7]])</f>
        <v>0</v>
      </c>
      <c r="AU153" s="4" t="str">
        <f>IFERROR(AVERAGE(Table2[[#This Row],[Tee time1]],Table2[[#This Row],[tee time2]],Table2[[#This Row],[tee time3]],Table2[[#This Row],[tee time4]],Table2[[#This Row],[tee time5]],Table2[[#This Row],[tee time6]],Table2[[#This Row],[tee time7]]),"")</f>
        <v/>
      </c>
      <c r="AV153" s="11" t="str">
        <f>IFERROR(MEDIAN(Table2[[#This Row],[round1]],Table2[[#This Row],[Round2]],Table2[[#This Row],[round3]],Table2[[#This Row],[round4]],Table2[[#This Row],[round5]],Table2[[#This Row],[round6]],Table2[[#This Row],[round7]]),"")</f>
        <v/>
      </c>
      <c r="AW153" s="11" t="str">
        <f>IFERROR(AVERAGE(Table2[[#This Row],[gap1]],Table2[[#This Row],[gap2]],Table2[[#This Row],[gap3]],Table2[[#This Row],[gap4]],Table2[[#This Row],[gap5]],Table2[[#This Row],[gap6]],Table2[[#This Row],[gap7]]),"")</f>
        <v/>
      </c>
      <c r="AX153" s="9" t="str">
        <f>IFERROR((Table2[[#This Row],[avg gap]]-starting_interval)*24*60*Table2[[#This Row],[Count]],"NA")</f>
        <v>NA</v>
      </c>
      <c r="AY153"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53" s="2"/>
    </row>
    <row r="154" spans="1:52" hidden="1" x14ac:dyDescent="0.3">
      <c r="A154" s="10" t="s">
        <v>39</v>
      </c>
      <c r="B154" s="1" t="s">
        <v>277</v>
      </c>
      <c r="C154" s="19">
        <v>34.4</v>
      </c>
      <c r="D154" s="32" t="str">
        <f>_xlfn.IFNA(VLOOKUP(Table2[[#This Row],[Name]],'Classic day 1 - players'!$A$2:$B$64,2,FALSE),"")</f>
        <v/>
      </c>
      <c r="E154" s="33" t="str">
        <f>IF(Table2[[#This Row],[Tee time1]]&lt;&gt;"",COUNTIF('Classic day 1 - players'!$B$2:$B$64,"="&amp;Table2[[#This Row],[Tee time1]]),"")</f>
        <v/>
      </c>
      <c r="F154" s="4" t="str">
        <f>_xlfn.IFNA(VLOOKUP(Table2[[#This Row],[Tee time1]],'Classic day 1 - groups'!$A$3:$F$20,6,FALSE),"")</f>
        <v/>
      </c>
      <c r="G154" s="11" t="str">
        <f>_xlfn.IFNA(VLOOKUP(Table2[[#This Row],[Tee time1]],'Classic day 1 - groups'!$A$3:$F$20,4,FALSE),"")</f>
        <v/>
      </c>
      <c r="H154" s="12" t="str">
        <f>_xlfn.IFNA(VLOOKUP(Table2[[#This Row],[Tee time1]],'Classic day 1 - groups'!$A$3:$F$20,5,FALSE),"")</f>
        <v/>
      </c>
      <c r="I154" s="69" t="str">
        <f>IFERROR((MAX(starting_interval,IF(Table2[[#This Row],[gap1]]="NA",Table2[[#This Row],[avg gap]],Table2[[#This Row],[gap1]]))-starting_interval)*Table2[[#This Row],[followers1]]/Table2[[#This Row],[group size]],"")</f>
        <v/>
      </c>
      <c r="J154" s="32" t="str">
        <f>_xlfn.IFNA(VLOOKUP(Table2[[#This Row],[Name]],'Classic day 2 - players'!$A$2:$B$64,2,FALSE),"")</f>
        <v/>
      </c>
      <c r="K154" s="4" t="str">
        <f>IF(Table2[[#This Row],[tee time2]]&lt;&gt;"",COUNTIF('Classic day 2 - players'!$B$2:$B$64,"="&amp;Table2[[#This Row],[tee time2]]),"")</f>
        <v/>
      </c>
      <c r="L154" s="4" t="str">
        <f>_xlfn.IFNA(VLOOKUP(Table2[[#This Row],[tee time2]],'Classic day 2 - groups'!$A$3:$F$20,6,FALSE),"")</f>
        <v/>
      </c>
      <c r="M154" s="4" t="str">
        <f>_xlfn.IFNA(VLOOKUP(Table2[[#This Row],[tee time2]],'Classic day 2 - groups'!$A$3:$F$20,4,FALSE),"")</f>
        <v/>
      </c>
      <c r="N154" s="65" t="str">
        <f>_xlfn.IFNA(VLOOKUP(Table2[[#This Row],[tee time2]],'Classic day 2 - groups'!$A$3:$F$20,5,FALSE),"")</f>
        <v/>
      </c>
      <c r="O154" s="69" t="str">
        <f>IFERROR((MAX(starting_interval,IF(Table2[[#This Row],[gap2]]="NA",Table2[[#This Row],[avg gap]],Table2[[#This Row],[gap2]]))-starting_interval)*Table2[[#This Row],[followers2]]/Table2[[#This Row],[group size2]],"")</f>
        <v/>
      </c>
      <c r="P154" s="32" t="str">
        <f>_xlfn.IFNA(VLOOKUP(Table2[[#This Row],[Name]],'Summer FD - players'!$A$2:$B$65,2,FALSE),"")</f>
        <v/>
      </c>
      <c r="Q154" s="59" t="str">
        <f>IF(Table2[[#This Row],[tee time3]]&lt;&gt;"",COUNTIF('Summer FD - players'!$B$2:$B$65,"="&amp;Table2[[#This Row],[tee time3]]),"")</f>
        <v/>
      </c>
      <c r="R154" s="59" t="str">
        <f>_xlfn.IFNA(VLOOKUP(Table2[[#This Row],[tee time3]],'Summer FD - groups'!$A$3:$F$20,6,FALSE),"")</f>
        <v/>
      </c>
      <c r="S154" s="4" t="str">
        <f>_xlfn.IFNA(VLOOKUP(Table2[[#This Row],[tee time3]],'Summer FD - groups'!$A$3:$F$20,4,FALSE),"")</f>
        <v/>
      </c>
      <c r="T154" s="13" t="str">
        <f>_xlfn.IFNA(VLOOKUP(Table2[[#This Row],[tee time3]],'Summer FD - groups'!$A$3:$F$20,5,FALSE),"")</f>
        <v/>
      </c>
      <c r="U154" s="69" t="str">
        <f>IF(Table2[[#This Row],[avg gap]]&lt;&gt;"",IFERROR((MAX(starting_interval,IF(Table2[[#This Row],[gap3]]="NA",Table2[[#This Row],[avg gap]],Table2[[#This Row],[gap3]]))-starting_interval)*Table2[[#This Row],[followers3]]/Table2[[#This Row],[group size3]],""),"")</f>
        <v/>
      </c>
      <c r="V154" s="32" t="str">
        <f>_xlfn.IFNA(VLOOKUP(Table2[[#This Row],[Name]],'6-6-6 - players'!$A$2:$B$69,2,FALSE),"")</f>
        <v/>
      </c>
      <c r="W154" s="59" t="str">
        <f>IF(Table2[[#This Row],[tee time4]]&lt;&gt;"",COUNTIF('6-6-6 - players'!$B$2:$B$69,"="&amp;Table2[[#This Row],[tee time4]]),"")</f>
        <v/>
      </c>
      <c r="X154" s="59" t="str">
        <f>_xlfn.IFNA(VLOOKUP(Table2[[#This Row],[tee time4]],'6-6-6 - groups'!$A$3:$F$20,6,FALSE),"")</f>
        <v/>
      </c>
      <c r="Y154" s="4" t="str">
        <f>_xlfn.IFNA(VLOOKUP(Table2[[#This Row],[tee time4]],'6-6-6 - groups'!$A$3:$F$20,4,FALSE),"")</f>
        <v/>
      </c>
      <c r="Z154" s="13" t="str">
        <f>_xlfn.IFNA(VLOOKUP(Table2[[#This Row],[tee time4]],'6-6-6 - groups'!$A$3:$F$20,5,FALSE),"")</f>
        <v/>
      </c>
      <c r="AA154" s="69" t="str">
        <f>IF(Table2[[#This Row],[avg gap]]&lt;&gt;"",IFERROR((MAX(starting_interval,IF(Table2[[#This Row],[gap4]]="NA",Table2[[#This Row],[avg gap]],Table2[[#This Row],[gap4]]))-starting_interval)*Table2[[#This Row],[followers4]]/Table2[[#This Row],[group size4]],""),"")</f>
        <v/>
      </c>
      <c r="AB154" s="32" t="str">
        <f>_xlfn.IFNA(VLOOKUP(Table2[[#This Row],[Name]],'Fall FD - players'!$A$2:$B$65,2,FALSE),"")</f>
        <v/>
      </c>
      <c r="AC154" s="59" t="str">
        <f>IF(Table2[[#This Row],[tee time5]]&lt;&gt;"",COUNTIF('Fall FD - players'!$B$2:$B$65,"="&amp;Table2[[#This Row],[tee time5]]),"")</f>
        <v/>
      </c>
      <c r="AD154" s="59" t="str">
        <f>_xlfn.IFNA(VLOOKUP(Table2[[#This Row],[tee time5]],'Fall FD - groups'!$A$3:$F$20,6,FALSE),"")</f>
        <v/>
      </c>
      <c r="AE154" s="4" t="str">
        <f>_xlfn.IFNA(VLOOKUP(Table2[[#This Row],[tee time5]],'Fall FD - groups'!$A$3:$F$20,4,FALSE),"")</f>
        <v/>
      </c>
      <c r="AF154" s="13" t="str">
        <f>IFERROR(MIN(_xlfn.IFNA(VLOOKUP(Table2[[#This Row],[tee time5]],'Fall FD - groups'!$A$3:$F$20,5,FALSE),""),starting_interval + Table2[[#This Row],[round5]] - standard_round_time),"")</f>
        <v/>
      </c>
      <c r="AG154" s="69" t="str">
        <f>IF(AND(Table2[[#This Row],[gap5]]="NA",Table2[[#This Row],[round5]]&lt;4/24),0,IFERROR((MAX(starting_interval,IF(Table2[[#This Row],[gap5]]="NA",Table2[[#This Row],[avg gap]],Table2[[#This Row],[gap5]]))-starting_interval)*Table2[[#This Row],[followers5]]/Table2[[#This Row],[group size5]],""))</f>
        <v/>
      </c>
      <c r="AH154" s="32" t="str">
        <f>_xlfn.IFNA(VLOOKUP(Table2[[#This Row],[Name]],'Stableford - players'!$A$2:$B$65,2,FALSE),"")</f>
        <v/>
      </c>
      <c r="AI154" s="59" t="str">
        <f>IF(Table2[[#This Row],[tee time6]]&lt;&gt;"",COUNTIF('Stableford - players'!$B$2:$B$65,"="&amp;Table2[[#This Row],[tee time6]]),"")</f>
        <v/>
      </c>
      <c r="AJ154" s="59" t="str">
        <f>_xlfn.IFNA(VLOOKUP(Table2[[#This Row],[tee time6]],'Stableford - groups'!$A$3:$F$20,6,FALSE),"")</f>
        <v/>
      </c>
      <c r="AK154" s="11" t="str">
        <f>_xlfn.IFNA(VLOOKUP(Table2[[#This Row],[tee time6]],'Stableford - groups'!$A$3:$F$20,4,FALSE),"")</f>
        <v/>
      </c>
      <c r="AL154" s="13" t="str">
        <f>_xlfn.IFNA(VLOOKUP(Table2[[#This Row],[tee time6]],'Stableford - groups'!$A$3:$F$20,5,FALSE),"")</f>
        <v/>
      </c>
      <c r="AM154" s="68" t="str">
        <f>IF(AND(Table2[[#This Row],[gap6]]="NA",Table2[[#This Row],[round6]]&lt;4/24),0,IFERROR((MAX(starting_interval,IF(Table2[[#This Row],[gap6]]="NA",Table2[[#This Row],[avg gap]],Table2[[#This Row],[gap6]]))-starting_interval)*Table2[[#This Row],[followers6]]/Table2[[#This Row],[group size6]],""))</f>
        <v/>
      </c>
      <c r="AN154" s="32" t="str">
        <f>_xlfn.IFNA(VLOOKUP(Table2[[#This Row],[Name]],'Turkey Shoot - players'!$A$2:$B$65,2,FALSE),"")</f>
        <v/>
      </c>
      <c r="AO154" s="59" t="str">
        <f>IF(Table2[[#This Row],[tee time7]]&lt;&gt;"",COUNTIF('Turkey Shoot - players'!$B$2:$B$65,"="&amp;Table2[[#This Row],[tee time7]]),"")</f>
        <v/>
      </c>
      <c r="AP154" s="59" t="str">
        <f>_xlfn.IFNA(VLOOKUP(Table2[[#This Row],[tee time7]],'Stableford - groups'!$A$3:$F$20,6,FALSE),"")</f>
        <v/>
      </c>
      <c r="AQ154" s="11" t="str">
        <f>_xlfn.IFNA(VLOOKUP(Table2[[#This Row],[tee time7]],'Turkey Shoot - groups'!$A$3:$F$20,4,FALSE),"")</f>
        <v/>
      </c>
      <c r="AR154" s="13" t="str">
        <f>_xlfn.IFNA(VLOOKUP(Table2[[#This Row],[tee time7]],'Turkey Shoot - groups'!$A$3:$F$20,5,FALSE),"")</f>
        <v/>
      </c>
      <c r="AS154" s="68" t="str">
        <f>IF(AND(Table2[[#This Row],[gap7]]="NA",Table2[[#This Row],[round7]]&lt;4/24),0,IFERROR((MAX(starting_interval,IF(Table2[[#This Row],[gap7]]="NA",Table2[[#This Row],[avg gap]],Table2[[#This Row],[gap7]]))-starting_interval)*Table2[[#This Row],[followers7]]/Table2[[#This Row],[group size7]],""))</f>
        <v/>
      </c>
      <c r="AT154" s="72">
        <f>COUNT(Table2[[#This Row],[Tee time1]],Table2[[#This Row],[tee time2]],Table2[[#This Row],[tee time3]],Table2[[#This Row],[tee time4]],Table2[[#This Row],[tee time5]],Table2[[#This Row],[tee time6]],Table2[[#This Row],[tee time7]])</f>
        <v>0</v>
      </c>
      <c r="AU154" s="4" t="str">
        <f>IFERROR(AVERAGE(Table2[[#This Row],[Tee time1]],Table2[[#This Row],[tee time2]],Table2[[#This Row],[tee time3]],Table2[[#This Row],[tee time4]],Table2[[#This Row],[tee time5]],Table2[[#This Row],[tee time6]],Table2[[#This Row],[tee time7]]),"")</f>
        <v/>
      </c>
      <c r="AV154" s="11" t="str">
        <f>IFERROR(MEDIAN(Table2[[#This Row],[round1]],Table2[[#This Row],[Round2]],Table2[[#This Row],[round3]],Table2[[#This Row],[round4]],Table2[[#This Row],[round5]],Table2[[#This Row],[round6]],Table2[[#This Row],[round7]]),"")</f>
        <v/>
      </c>
      <c r="AW154" s="11" t="str">
        <f>IFERROR(AVERAGE(Table2[[#This Row],[gap1]],Table2[[#This Row],[gap2]],Table2[[#This Row],[gap3]],Table2[[#This Row],[gap4]],Table2[[#This Row],[gap5]],Table2[[#This Row],[gap6]],Table2[[#This Row],[gap7]]),"")</f>
        <v/>
      </c>
      <c r="AX154" s="9" t="str">
        <f>IFERROR((Table2[[#This Row],[avg gap]]-starting_interval)*24*60*Table2[[#This Row],[Count]],"NA")</f>
        <v>NA</v>
      </c>
      <c r="AY154"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54" s="2"/>
    </row>
    <row r="155" spans="1:52" x14ac:dyDescent="0.3">
      <c r="A155" s="10" t="s">
        <v>163</v>
      </c>
      <c r="B155" s="1" t="s">
        <v>404</v>
      </c>
      <c r="C155" s="19">
        <v>18.7</v>
      </c>
      <c r="D155" s="32">
        <f>_xlfn.IFNA(VLOOKUP(Table2[[#This Row],[Name]],'Classic day 1 - players'!$A$2:$B$64,2,FALSE),"")</f>
        <v>0.4145833333333333</v>
      </c>
      <c r="E155" s="33">
        <f>IF(Table2[[#This Row],[Tee time1]]&lt;&gt;"",COUNTIF('Classic day 1 - players'!$B$2:$B$64,"="&amp;Table2[[#This Row],[Tee time1]]),"")</f>
        <v>3</v>
      </c>
      <c r="F155" s="33">
        <f>_xlfn.IFNA(VLOOKUP(Table2[[#This Row],[Tee time1]],'Classic day 1 - groups'!$A$3:$F$20,6,FALSE),"")</f>
        <v>16</v>
      </c>
      <c r="G155" s="11">
        <f>_xlfn.IFNA(VLOOKUP(Table2[[#This Row],[Tee time1]],'Classic day 1 - groups'!$A$3:$F$20,4,FALSE),"")</f>
        <v>0.19861111111111113</v>
      </c>
      <c r="H155" s="12">
        <f>_xlfn.IFNA(VLOOKUP(Table2[[#This Row],[Tee time1]],'Classic day 1 - groups'!$A$3:$F$20,5,FALSE),"")</f>
        <v>3.4722222222222099E-3</v>
      </c>
      <c r="I155" s="69">
        <f>IFERROR((MAX(starting_interval,IF(Table2[[#This Row],[gap1]]="NA",Table2[[#This Row],[avg gap]],Table2[[#This Row],[gap1]]))-starting_interval)*Table2[[#This Row],[followers1]]/Table2[[#This Row],[group size]],"")</f>
        <v>0</v>
      </c>
      <c r="J155" s="32" t="str">
        <f>_xlfn.IFNA(VLOOKUP(Table2[[#This Row],[Name]],'Classic day 2 - players'!$A$2:$B$64,2,FALSE),"")</f>
        <v/>
      </c>
      <c r="K155" s="33" t="str">
        <f>IF(Table2[[#This Row],[tee time2]]&lt;&gt;"",COUNTIF('Classic day 2 - players'!$B$2:$B$64,"="&amp;Table2[[#This Row],[tee time2]]),"")</f>
        <v/>
      </c>
      <c r="L155" s="33" t="str">
        <f>_xlfn.IFNA(VLOOKUP(Table2[[#This Row],[tee time2]],'Classic day 2 - groups'!$A$3:$F$20,6,FALSE),"")</f>
        <v/>
      </c>
      <c r="M155" s="4" t="str">
        <f>_xlfn.IFNA(VLOOKUP(Table2[[#This Row],[tee time2]],'Classic day 2 - groups'!$A$3:$F$20,4,FALSE),"")</f>
        <v/>
      </c>
      <c r="N155" s="65" t="str">
        <f>_xlfn.IFNA(VLOOKUP(Table2[[#This Row],[tee time2]],'Classic day 2 - groups'!$A$3:$F$20,5,FALSE),"")</f>
        <v/>
      </c>
      <c r="O155" s="69" t="str">
        <f>IFERROR((MAX(starting_interval,IF(Table2[[#This Row],[gap2]]="NA",Table2[[#This Row],[avg gap]],Table2[[#This Row],[gap2]]))-starting_interval)*Table2[[#This Row],[followers2]]/Table2[[#This Row],[group size2]],"")</f>
        <v/>
      </c>
      <c r="P155" s="32" t="str">
        <f>_xlfn.IFNA(VLOOKUP(Table2[[#This Row],[Name]],'Summer FD - players'!$A$2:$B$65,2,FALSE),"")</f>
        <v/>
      </c>
      <c r="Q155" s="59" t="str">
        <f>IF(Table2[[#This Row],[tee time3]]&lt;&gt;"",COUNTIF('Summer FD - players'!$B$2:$B$65,"="&amp;Table2[[#This Row],[tee time3]]),"")</f>
        <v/>
      </c>
      <c r="R155" s="59" t="str">
        <f>_xlfn.IFNA(VLOOKUP(Table2[[#This Row],[tee time3]],'Summer FD - groups'!$A$3:$F$20,6,FALSE),"")</f>
        <v/>
      </c>
      <c r="S155" s="4" t="str">
        <f>_xlfn.IFNA(VLOOKUP(Table2[[#This Row],[tee time3]],'Summer FD - groups'!$A$3:$F$20,4,FALSE),"")</f>
        <v/>
      </c>
      <c r="T155" s="13" t="str">
        <f>_xlfn.IFNA(VLOOKUP(Table2[[#This Row],[tee time3]],'Summer FD - groups'!$A$3:$F$20,5,FALSE),"")</f>
        <v/>
      </c>
      <c r="U155" s="69" t="str">
        <f>IF(Table2[[#This Row],[avg gap]]&lt;&gt;"",IFERROR((MAX(starting_interval,IF(Table2[[#This Row],[gap3]]="NA",Table2[[#This Row],[avg gap]],Table2[[#This Row],[gap3]]))-starting_interval)*Table2[[#This Row],[followers3]]/Table2[[#This Row],[group size3]],""),"")</f>
        <v/>
      </c>
      <c r="V155" s="32" t="str">
        <f>_xlfn.IFNA(VLOOKUP(Table2[[#This Row],[Name]],'6-6-6 - players'!$A$2:$B$69,2,FALSE),"")</f>
        <v/>
      </c>
      <c r="W155" s="59" t="str">
        <f>IF(Table2[[#This Row],[tee time4]]&lt;&gt;"",COUNTIF('6-6-6 - players'!$B$2:$B$69,"="&amp;Table2[[#This Row],[tee time4]]),"")</f>
        <v/>
      </c>
      <c r="X155" s="59" t="str">
        <f>_xlfn.IFNA(VLOOKUP(Table2[[#This Row],[tee time4]],'6-6-6 - groups'!$A$3:$F$20,6,FALSE),"")</f>
        <v/>
      </c>
      <c r="Y155" s="4" t="str">
        <f>_xlfn.IFNA(VLOOKUP(Table2[[#This Row],[tee time4]],'6-6-6 - groups'!$A$3:$F$20,4,FALSE),"")</f>
        <v/>
      </c>
      <c r="Z155" s="13" t="str">
        <f>_xlfn.IFNA(VLOOKUP(Table2[[#This Row],[tee time4]],'6-6-6 - groups'!$A$3:$F$20,5,FALSE),"")</f>
        <v/>
      </c>
      <c r="AA155" s="69" t="str">
        <f>IF(Table2[[#This Row],[avg gap]]&lt;&gt;"",IFERROR((MAX(starting_interval,IF(Table2[[#This Row],[gap4]]="NA",Table2[[#This Row],[avg gap]],Table2[[#This Row],[gap4]]))-starting_interval)*Table2[[#This Row],[followers4]]/Table2[[#This Row],[group size4]],""),"")</f>
        <v/>
      </c>
      <c r="AB155" s="32" t="str">
        <f>_xlfn.IFNA(VLOOKUP(Table2[[#This Row],[Name]],'Fall FD - players'!$A$2:$B$65,2,FALSE),"")</f>
        <v/>
      </c>
      <c r="AC155" s="59" t="str">
        <f>IF(Table2[[#This Row],[tee time5]]&lt;&gt;"",COUNTIF('Fall FD - players'!$B$2:$B$65,"="&amp;Table2[[#This Row],[tee time5]]),"")</f>
        <v/>
      </c>
      <c r="AD155" s="59" t="str">
        <f>_xlfn.IFNA(VLOOKUP(Table2[[#This Row],[tee time5]],'Fall FD - groups'!$A$3:$F$20,6,FALSE),"")</f>
        <v/>
      </c>
      <c r="AE155" s="4" t="str">
        <f>_xlfn.IFNA(VLOOKUP(Table2[[#This Row],[tee time5]],'Fall FD - groups'!$A$3:$F$20,4,FALSE),"")</f>
        <v/>
      </c>
      <c r="AF155" s="13" t="str">
        <f>IFERROR(MIN(_xlfn.IFNA(VLOOKUP(Table2[[#This Row],[tee time5]],'Fall FD - groups'!$A$3:$F$20,5,FALSE),""),starting_interval + Table2[[#This Row],[round5]] - standard_round_time),"")</f>
        <v/>
      </c>
      <c r="AG155" s="69" t="str">
        <f>IF(AND(Table2[[#This Row],[gap5]]="NA",Table2[[#This Row],[round5]]&lt;4/24),0,IFERROR((MAX(starting_interval,IF(Table2[[#This Row],[gap5]]="NA",Table2[[#This Row],[avg gap]],Table2[[#This Row],[gap5]]))-starting_interval)*Table2[[#This Row],[followers5]]/Table2[[#This Row],[group size5]],""))</f>
        <v/>
      </c>
      <c r="AH155" s="32" t="str">
        <f>_xlfn.IFNA(VLOOKUP(Table2[[#This Row],[Name]],'Stableford - players'!$A$2:$B$65,2,FALSE),"")</f>
        <v/>
      </c>
      <c r="AI155" s="59" t="str">
        <f>IF(Table2[[#This Row],[tee time6]]&lt;&gt;"",COUNTIF('Stableford - players'!$B$2:$B$65,"="&amp;Table2[[#This Row],[tee time6]]),"")</f>
        <v/>
      </c>
      <c r="AJ155" s="59" t="str">
        <f>_xlfn.IFNA(VLOOKUP(Table2[[#This Row],[tee time6]],'Stableford - groups'!$A$3:$F$20,6,FALSE),"")</f>
        <v/>
      </c>
      <c r="AK155" s="11" t="str">
        <f>_xlfn.IFNA(VLOOKUP(Table2[[#This Row],[tee time6]],'Stableford - groups'!$A$3:$F$20,4,FALSE),"")</f>
        <v/>
      </c>
      <c r="AL155" s="13" t="str">
        <f>_xlfn.IFNA(VLOOKUP(Table2[[#This Row],[tee time6]],'Stableford - groups'!$A$3:$F$20,5,FALSE),"")</f>
        <v/>
      </c>
      <c r="AM155" s="68" t="str">
        <f>IF(AND(Table2[[#This Row],[gap6]]="NA",Table2[[#This Row],[round6]]&lt;4/24),0,IFERROR((MAX(starting_interval,IF(Table2[[#This Row],[gap6]]="NA",Table2[[#This Row],[avg gap]],Table2[[#This Row],[gap6]]))-starting_interval)*Table2[[#This Row],[followers6]]/Table2[[#This Row],[group size6]],""))</f>
        <v/>
      </c>
      <c r="AN155" s="32" t="str">
        <f>_xlfn.IFNA(VLOOKUP(Table2[[#This Row],[Name]],'Turkey Shoot - players'!$A$2:$B$65,2,FALSE),"")</f>
        <v/>
      </c>
      <c r="AO155" s="59" t="str">
        <f>IF(Table2[[#This Row],[tee time7]]&lt;&gt;"",COUNTIF('Turkey Shoot - players'!$B$2:$B$65,"="&amp;Table2[[#This Row],[tee time7]]),"")</f>
        <v/>
      </c>
      <c r="AP155" s="59" t="str">
        <f>_xlfn.IFNA(VLOOKUP(Table2[[#This Row],[tee time7]],'Stableford - groups'!$A$3:$F$20,6,FALSE),"")</f>
        <v/>
      </c>
      <c r="AQ155" s="11" t="str">
        <f>_xlfn.IFNA(VLOOKUP(Table2[[#This Row],[tee time7]],'Turkey Shoot - groups'!$A$3:$F$20,4,FALSE),"")</f>
        <v/>
      </c>
      <c r="AR155" s="13" t="str">
        <f>_xlfn.IFNA(VLOOKUP(Table2[[#This Row],[tee time7]],'Turkey Shoot - groups'!$A$3:$F$20,5,FALSE),"")</f>
        <v/>
      </c>
      <c r="AS155" s="68" t="str">
        <f>IF(AND(Table2[[#This Row],[gap7]]="NA",Table2[[#This Row],[round7]]&lt;4/24),0,IFERROR((MAX(starting_interval,IF(Table2[[#This Row],[gap7]]="NA",Table2[[#This Row],[avg gap]],Table2[[#This Row],[gap7]]))-starting_interval)*Table2[[#This Row],[followers7]]/Table2[[#This Row],[group size7]],""))</f>
        <v/>
      </c>
      <c r="AT155" s="72">
        <f>COUNT(Table2[[#This Row],[Tee time1]],Table2[[#This Row],[tee time2]],Table2[[#This Row],[tee time3]],Table2[[#This Row],[tee time4]],Table2[[#This Row],[tee time5]],Table2[[#This Row],[tee time6]],Table2[[#This Row],[tee time7]])</f>
        <v>1</v>
      </c>
      <c r="AU155" s="4">
        <f>IFERROR(AVERAGE(Table2[[#This Row],[Tee time1]],Table2[[#This Row],[tee time2]],Table2[[#This Row],[tee time3]],Table2[[#This Row],[tee time4]],Table2[[#This Row],[tee time5]],Table2[[#This Row],[tee time6]],Table2[[#This Row],[tee time7]]),"")</f>
        <v>0.4145833333333333</v>
      </c>
      <c r="AV155" s="11">
        <f>IFERROR(MEDIAN(Table2[[#This Row],[round1]],Table2[[#This Row],[Round2]],Table2[[#This Row],[round3]],Table2[[#This Row],[round4]],Table2[[#This Row],[round5]],Table2[[#This Row],[round6]],Table2[[#This Row],[round7]]),"")</f>
        <v>0.19861111111111113</v>
      </c>
      <c r="AW155" s="11">
        <f>IFERROR(AVERAGE(Table2[[#This Row],[gap1]],Table2[[#This Row],[gap2]],Table2[[#This Row],[gap3]],Table2[[#This Row],[gap4]],Table2[[#This Row],[gap5]],Table2[[#This Row],[gap6]],Table2[[#This Row],[gap7]]),"")</f>
        <v>3.4722222222222099E-3</v>
      </c>
      <c r="AX155" s="9">
        <f>IFERROR((Table2[[#This Row],[avg gap]]-starting_interval)*24*60*Table2[[#This Row],[Count]],"NA")</f>
        <v>-5.0000000000000169</v>
      </c>
      <c r="AY155"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55" s="2"/>
    </row>
    <row r="156" spans="1:52" hidden="1" x14ac:dyDescent="0.3">
      <c r="A156" s="10" t="s">
        <v>45</v>
      </c>
      <c r="B156" s="1" t="s">
        <v>283</v>
      </c>
      <c r="C156" s="19">
        <v>9</v>
      </c>
      <c r="D156" s="32" t="str">
        <f>_xlfn.IFNA(VLOOKUP(Table2[[#This Row],[Name]],'Classic day 1 - players'!$A$2:$B$64,2,FALSE),"")</f>
        <v/>
      </c>
      <c r="E156" s="33" t="str">
        <f>IF(Table2[[#This Row],[Tee time1]]&lt;&gt;"",COUNTIF('Classic day 1 - players'!$B$2:$B$64,"="&amp;Table2[[#This Row],[Tee time1]]),"")</f>
        <v/>
      </c>
      <c r="F156" s="4" t="str">
        <f>_xlfn.IFNA(VLOOKUP(Table2[[#This Row],[Tee time1]],'Classic day 1 - groups'!$A$3:$F$20,6,FALSE),"")</f>
        <v/>
      </c>
      <c r="G156" s="11" t="str">
        <f>_xlfn.IFNA(VLOOKUP(Table2[[#This Row],[Tee time1]],'Classic day 1 - groups'!$A$3:$F$20,4,FALSE),"")</f>
        <v/>
      </c>
      <c r="H156" s="12" t="str">
        <f>_xlfn.IFNA(VLOOKUP(Table2[[#This Row],[Tee time1]],'Classic day 1 - groups'!$A$3:$F$20,5,FALSE),"")</f>
        <v/>
      </c>
      <c r="I156" s="69" t="str">
        <f>IFERROR((MAX(starting_interval,IF(Table2[[#This Row],[gap1]]="NA",Table2[[#This Row],[avg gap]],Table2[[#This Row],[gap1]]))-starting_interval)*Table2[[#This Row],[followers1]]/Table2[[#This Row],[group size]],"")</f>
        <v/>
      </c>
      <c r="J156" s="32" t="str">
        <f>_xlfn.IFNA(VLOOKUP(Table2[[#This Row],[Name]],'Classic day 2 - players'!$A$2:$B$64,2,FALSE),"")</f>
        <v/>
      </c>
      <c r="K156" s="4" t="str">
        <f>IF(Table2[[#This Row],[tee time2]]&lt;&gt;"",COUNTIF('Classic day 2 - players'!$B$2:$B$64,"="&amp;Table2[[#This Row],[tee time2]]),"")</f>
        <v/>
      </c>
      <c r="L156" s="4" t="str">
        <f>_xlfn.IFNA(VLOOKUP(Table2[[#This Row],[tee time2]],'Classic day 2 - groups'!$A$3:$F$20,6,FALSE),"")</f>
        <v/>
      </c>
      <c r="M156" s="4" t="str">
        <f>_xlfn.IFNA(VLOOKUP(Table2[[#This Row],[tee time2]],'Classic day 2 - groups'!$A$3:$F$20,4,FALSE),"")</f>
        <v/>
      </c>
      <c r="N156" s="65" t="str">
        <f>_xlfn.IFNA(VLOOKUP(Table2[[#This Row],[tee time2]],'Classic day 2 - groups'!$A$3:$F$20,5,FALSE),"")</f>
        <v/>
      </c>
      <c r="O156" s="69" t="str">
        <f>IFERROR((MAX(starting_interval,IF(Table2[[#This Row],[gap2]]="NA",Table2[[#This Row],[avg gap]],Table2[[#This Row],[gap2]]))-starting_interval)*Table2[[#This Row],[followers2]]/Table2[[#This Row],[group size2]],"")</f>
        <v/>
      </c>
      <c r="P156" s="32" t="str">
        <f>_xlfn.IFNA(VLOOKUP(Table2[[#This Row],[Name]],'Summer FD - players'!$A$2:$B$65,2,FALSE),"")</f>
        <v/>
      </c>
      <c r="Q156" s="59" t="str">
        <f>IF(Table2[[#This Row],[tee time3]]&lt;&gt;"",COUNTIF('Summer FD - players'!$B$2:$B$65,"="&amp;Table2[[#This Row],[tee time3]]),"")</f>
        <v/>
      </c>
      <c r="R156" s="59" t="str">
        <f>_xlfn.IFNA(VLOOKUP(Table2[[#This Row],[tee time3]],'Summer FD - groups'!$A$3:$F$20,6,FALSE),"")</f>
        <v/>
      </c>
      <c r="S156" s="4" t="str">
        <f>_xlfn.IFNA(VLOOKUP(Table2[[#This Row],[tee time3]],'Summer FD - groups'!$A$3:$F$20,4,FALSE),"")</f>
        <v/>
      </c>
      <c r="T156" s="13" t="str">
        <f>_xlfn.IFNA(VLOOKUP(Table2[[#This Row],[tee time3]],'Summer FD - groups'!$A$3:$F$20,5,FALSE),"")</f>
        <v/>
      </c>
      <c r="U156" s="69" t="str">
        <f>IF(Table2[[#This Row],[avg gap]]&lt;&gt;"",IFERROR((MAX(starting_interval,IF(Table2[[#This Row],[gap3]]="NA",Table2[[#This Row],[avg gap]],Table2[[#This Row],[gap3]]))-starting_interval)*Table2[[#This Row],[followers3]]/Table2[[#This Row],[group size3]],""),"")</f>
        <v/>
      </c>
      <c r="V156" s="32" t="str">
        <f>_xlfn.IFNA(VLOOKUP(Table2[[#This Row],[Name]],'6-6-6 - players'!$A$2:$B$69,2,FALSE),"")</f>
        <v/>
      </c>
      <c r="W156" s="59" t="str">
        <f>IF(Table2[[#This Row],[tee time4]]&lt;&gt;"",COUNTIF('6-6-6 - players'!$B$2:$B$69,"="&amp;Table2[[#This Row],[tee time4]]),"")</f>
        <v/>
      </c>
      <c r="X156" s="59" t="str">
        <f>_xlfn.IFNA(VLOOKUP(Table2[[#This Row],[tee time4]],'6-6-6 - groups'!$A$3:$F$20,6,FALSE),"")</f>
        <v/>
      </c>
      <c r="Y156" s="4" t="str">
        <f>_xlfn.IFNA(VLOOKUP(Table2[[#This Row],[tee time4]],'6-6-6 - groups'!$A$3:$F$20,4,FALSE),"")</f>
        <v/>
      </c>
      <c r="Z156" s="13" t="str">
        <f>_xlfn.IFNA(VLOOKUP(Table2[[#This Row],[tee time4]],'6-6-6 - groups'!$A$3:$F$20,5,FALSE),"")</f>
        <v/>
      </c>
      <c r="AA156" s="69" t="str">
        <f>IF(Table2[[#This Row],[avg gap]]&lt;&gt;"",IFERROR((MAX(starting_interval,IF(Table2[[#This Row],[gap4]]="NA",Table2[[#This Row],[avg gap]],Table2[[#This Row],[gap4]]))-starting_interval)*Table2[[#This Row],[followers4]]/Table2[[#This Row],[group size4]],""),"")</f>
        <v/>
      </c>
      <c r="AB156" s="32" t="str">
        <f>_xlfn.IFNA(VLOOKUP(Table2[[#This Row],[Name]],'Fall FD - players'!$A$2:$B$65,2,FALSE),"")</f>
        <v/>
      </c>
      <c r="AC156" s="59" t="str">
        <f>IF(Table2[[#This Row],[tee time5]]&lt;&gt;"",COUNTIF('Fall FD - players'!$B$2:$B$65,"="&amp;Table2[[#This Row],[tee time5]]),"")</f>
        <v/>
      </c>
      <c r="AD156" s="59" t="str">
        <f>_xlfn.IFNA(VLOOKUP(Table2[[#This Row],[tee time5]],'Fall FD - groups'!$A$3:$F$20,6,FALSE),"")</f>
        <v/>
      </c>
      <c r="AE156" s="4" t="str">
        <f>_xlfn.IFNA(VLOOKUP(Table2[[#This Row],[tee time5]],'Fall FD - groups'!$A$3:$F$20,4,FALSE),"")</f>
        <v/>
      </c>
      <c r="AF156" s="13" t="str">
        <f>IFERROR(MIN(_xlfn.IFNA(VLOOKUP(Table2[[#This Row],[tee time5]],'Fall FD - groups'!$A$3:$F$20,5,FALSE),""),starting_interval + Table2[[#This Row],[round5]] - standard_round_time),"")</f>
        <v/>
      </c>
      <c r="AG156" s="69" t="str">
        <f>IF(AND(Table2[[#This Row],[gap5]]="NA",Table2[[#This Row],[round5]]&lt;4/24),0,IFERROR((MAX(starting_interval,IF(Table2[[#This Row],[gap5]]="NA",Table2[[#This Row],[avg gap]],Table2[[#This Row],[gap5]]))-starting_interval)*Table2[[#This Row],[followers5]]/Table2[[#This Row],[group size5]],""))</f>
        <v/>
      </c>
      <c r="AH156" s="32" t="str">
        <f>_xlfn.IFNA(VLOOKUP(Table2[[#This Row],[Name]],'Stableford - players'!$A$2:$B$65,2,FALSE),"")</f>
        <v/>
      </c>
      <c r="AI156" s="59" t="str">
        <f>IF(Table2[[#This Row],[tee time6]]&lt;&gt;"",COUNTIF('Stableford - players'!$B$2:$B$65,"="&amp;Table2[[#This Row],[tee time6]]),"")</f>
        <v/>
      </c>
      <c r="AJ156" s="59" t="str">
        <f>_xlfn.IFNA(VLOOKUP(Table2[[#This Row],[tee time6]],'Stableford - groups'!$A$3:$F$20,6,FALSE),"")</f>
        <v/>
      </c>
      <c r="AK156" s="11" t="str">
        <f>_xlfn.IFNA(VLOOKUP(Table2[[#This Row],[tee time6]],'Stableford - groups'!$A$3:$F$20,4,FALSE),"")</f>
        <v/>
      </c>
      <c r="AL156" s="13" t="str">
        <f>_xlfn.IFNA(VLOOKUP(Table2[[#This Row],[tee time6]],'Stableford - groups'!$A$3:$F$20,5,FALSE),"")</f>
        <v/>
      </c>
      <c r="AM156" s="68" t="str">
        <f>IF(AND(Table2[[#This Row],[gap6]]="NA",Table2[[#This Row],[round6]]&lt;4/24),0,IFERROR((MAX(starting_interval,IF(Table2[[#This Row],[gap6]]="NA",Table2[[#This Row],[avg gap]],Table2[[#This Row],[gap6]]))-starting_interval)*Table2[[#This Row],[followers6]]/Table2[[#This Row],[group size6]],""))</f>
        <v/>
      </c>
      <c r="AN156" s="32" t="str">
        <f>_xlfn.IFNA(VLOOKUP(Table2[[#This Row],[Name]],'Turkey Shoot - players'!$A$2:$B$65,2,FALSE),"")</f>
        <v/>
      </c>
      <c r="AO156" s="59" t="str">
        <f>IF(Table2[[#This Row],[tee time7]]&lt;&gt;"",COUNTIF('Turkey Shoot - players'!$B$2:$B$65,"="&amp;Table2[[#This Row],[tee time7]]),"")</f>
        <v/>
      </c>
      <c r="AP156" s="59" t="str">
        <f>_xlfn.IFNA(VLOOKUP(Table2[[#This Row],[tee time7]],'Stableford - groups'!$A$3:$F$20,6,FALSE),"")</f>
        <v/>
      </c>
      <c r="AQ156" s="11" t="str">
        <f>_xlfn.IFNA(VLOOKUP(Table2[[#This Row],[tee time7]],'Turkey Shoot - groups'!$A$3:$F$20,4,FALSE),"")</f>
        <v/>
      </c>
      <c r="AR156" s="13" t="str">
        <f>_xlfn.IFNA(VLOOKUP(Table2[[#This Row],[tee time7]],'Turkey Shoot - groups'!$A$3:$F$20,5,FALSE),"")</f>
        <v/>
      </c>
      <c r="AS156" s="68" t="str">
        <f>IF(AND(Table2[[#This Row],[gap7]]="NA",Table2[[#This Row],[round7]]&lt;4/24),0,IFERROR((MAX(starting_interval,IF(Table2[[#This Row],[gap7]]="NA",Table2[[#This Row],[avg gap]],Table2[[#This Row],[gap7]]))-starting_interval)*Table2[[#This Row],[followers7]]/Table2[[#This Row],[group size7]],""))</f>
        <v/>
      </c>
      <c r="AT156" s="72">
        <f>COUNT(Table2[[#This Row],[Tee time1]],Table2[[#This Row],[tee time2]],Table2[[#This Row],[tee time3]],Table2[[#This Row],[tee time4]],Table2[[#This Row],[tee time5]],Table2[[#This Row],[tee time6]],Table2[[#This Row],[tee time7]])</f>
        <v>0</v>
      </c>
      <c r="AU156" s="4" t="str">
        <f>IFERROR(AVERAGE(Table2[[#This Row],[Tee time1]],Table2[[#This Row],[tee time2]],Table2[[#This Row],[tee time3]],Table2[[#This Row],[tee time4]],Table2[[#This Row],[tee time5]],Table2[[#This Row],[tee time6]],Table2[[#This Row],[tee time7]]),"")</f>
        <v/>
      </c>
      <c r="AV156" s="11" t="str">
        <f>IFERROR(MEDIAN(Table2[[#This Row],[round1]],Table2[[#This Row],[Round2]],Table2[[#This Row],[round3]],Table2[[#This Row],[round4]],Table2[[#This Row],[round5]],Table2[[#This Row],[round6]],Table2[[#This Row],[round7]]),"")</f>
        <v/>
      </c>
      <c r="AW156" s="11" t="str">
        <f>IFERROR(AVERAGE(Table2[[#This Row],[gap1]],Table2[[#This Row],[gap2]],Table2[[#This Row],[gap3]],Table2[[#This Row],[gap4]],Table2[[#This Row],[gap5]],Table2[[#This Row],[gap6]],Table2[[#This Row],[gap7]]),"")</f>
        <v/>
      </c>
      <c r="AX156" s="9" t="str">
        <f>IFERROR((Table2[[#This Row],[avg gap]]-starting_interval)*24*60*Table2[[#This Row],[Count]],"NA")</f>
        <v>NA</v>
      </c>
      <c r="AY156"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56" s="2"/>
    </row>
    <row r="157" spans="1:52" hidden="1" x14ac:dyDescent="0.3">
      <c r="A157" s="10" t="s">
        <v>53</v>
      </c>
      <c r="B157" s="1" t="s">
        <v>291</v>
      </c>
      <c r="C157" s="19">
        <v>10.4</v>
      </c>
      <c r="D157" s="32" t="str">
        <f>_xlfn.IFNA(VLOOKUP(Table2[[#This Row],[Name]],'Classic day 1 - players'!$A$2:$B$64,2,FALSE),"")</f>
        <v/>
      </c>
      <c r="E157" s="33" t="str">
        <f>IF(Table2[[#This Row],[Tee time1]]&lt;&gt;"",COUNTIF('Classic day 1 - players'!$B$2:$B$64,"="&amp;Table2[[#This Row],[Tee time1]]),"")</f>
        <v/>
      </c>
      <c r="F157" s="4" t="str">
        <f>_xlfn.IFNA(VLOOKUP(Table2[[#This Row],[Tee time1]],'Classic day 1 - groups'!$A$3:$F$20,6,FALSE),"")</f>
        <v/>
      </c>
      <c r="G157" s="11" t="str">
        <f>_xlfn.IFNA(VLOOKUP(Table2[[#This Row],[Tee time1]],'Classic day 1 - groups'!$A$3:$F$20,4,FALSE),"")</f>
        <v/>
      </c>
      <c r="H157" s="12" t="str">
        <f>_xlfn.IFNA(VLOOKUP(Table2[[#This Row],[Tee time1]],'Classic day 1 - groups'!$A$3:$F$20,5,FALSE),"")</f>
        <v/>
      </c>
      <c r="I157" s="69" t="str">
        <f>IFERROR((MAX(starting_interval,IF(Table2[[#This Row],[gap1]]="NA",Table2[[#This Row],[avg gap]],Table2[[#This Row],[gap1]]))-starting_interval)*Table2[[#This Row],[followers1]]/Table2[[#This Row],[group size]],"")</f>
        <v/>
      </c>
      <c r="J157" s="32" t="str">
        <f>_xlfn.IFNA(VLOOKUP(Table2[[#This Row],[Name]],'Classic day 2 - players'!$A$2:$B$64,2,FALSE),"")</f>
        <v/>
      </c>
      <c r="K157" s="4" t="str">
        <f>IF(Table2[[#This Row],[tee time2]]&lt;&gt;"",COUNTIF('Classic day 2 - players'!$B$2:$B$64,"="&amp;Table2[[#This Row],[tee time2]]),"")</f>
        <v/>
      </c>
      <c r="L157" s="4" t="str">
        <f>_xlfn.IFNA(VLOOKUP(Table2[[#This Row],[tee time2]],'Classic day 2 - groups'!$A$3:$F$20,6,FALSE),"")</f>
        <v/>
      </c>
      <c r="M157" s="4" t="str">
        <f>_xlfn.IFNA(VLOOKUP(Table2[[#This Row],[tee time2]],'Classic day 2 - groups'!$A$3:$F$20,4,FALSE),"")</f>
        <v/>
      </c>
      <c r="N157" s="65" t="str">
        <f>_xlfn.IFNA(VLOOKUP(Table2[[#This Row],[tee time2]],'Classic day 2 - groups'!$A$3:$F$20,5,FALSE),"")</f>
        <v/>
      </c>
      <c r="O157" s="69" t="str">
        <f>IFERROR((MAX(starting_interval,IF(Table2[[#This Row],[gap2]]="NA",Table2[[#This Row],[avg gap]],Table2[[#This Row],[gap2]]))-starting_interval)*Table2[[#This Row],[followers2]]/Table2[[#This Row],[group size2]],"")</f>
        <v/>
      </c>
      <c r="P157" s="32" t="str">
        <f>_xlfn.IFNA(VLOOKUP(Table2[[#This Row],[Name]],'Summer FD - players'!$A$2:$B$65,2,FALSE),"")</f>
        <v/>
      </c>
      <c r="Q157" s="59" t="str">
        <f>IF(Table2[[#This Row],[tee time3]]&lt;&gt;"",COUNTIF('Summer FD - players'!$B$2:$B$65,"="&amp;Table2[[#This Row],[tee time3]]),"")</f>
        <v/>
      </c>
      <c r="R157" s="59" t="str">
        <f>_xlfn.IFNA(VLOOKUP(Table2[[#This Row],[tee time3]],'Summer FD - groups'!$A$3:$F$20,6,FALSE),"")</f>
        <v/>
      </c>
      <c r="S157" s="4" t="str">
        <f>_xlfn.IFNA(VLOOKUP(Table2[[#This Row],[tee time3]],'Summer FD - groups'!$A$3:$F$20,4,FALSE),"")</f>
        <v/>
      </c>
      <c r="T157" s="13" t="str">
        <f>_xlfn.IFNA(VLOOKUP(Table2[[#This Row],[tee time3]],'Summer FD - groups'!$A$3:$F$20,5,FALSE),"")</f>
        <v/>
      </c>
      <c r="U157" s="69" t="str">
        <f>IF(Table2[[#This Row],[avg gap]]&lt;&gt;"",IFERROR((MAX(starting_interval,IF(Table2[[#This Row],[gap3]]="NA",Table2[[#This Row],[avg gap]],Table2[[#This Row],[gap3]]))-starting_interval)*Table2[[#This Row],[followers3]]/Table2[[#This Row],[group size3]],""),"")</f>
        <v/>
      </c>
      <c r="V157" s="32" t="str">
        <f>_xlfn.IFNA(VLOOKUP(Table2[[#This Row],[Name]],'6-6-6 - players'!$A$2:$B$69,2,FALSE),"")</f>
        <v/>
      </c>
      <c r="W157" s="59" t="str">
        <f>IF(Table2[[#This Row],[tee time4]]&lt;&gt;"",COUNTIF('6-6-6 - players'!$B$2:$B$69,"="&amp;Table2[[#This Row],[tee time4]]),"")</f>
        <v/>
      </c>
      <c r="X157" s="59" t="str">
        <f>_xlfn.IFNA(VLOOKUP(Table2[[#This Row],[tee time4]],'6-6-6 - groups'!$A$3:$F$20,6,FALSE),"")</f>
        <v/>
      </c>
      <c r="Y157" s="4" t="str">
        <f>_xlfn.IFNA(VLOOKUP(Table2[[#This Row],[tee time4]],'6-6-6 - groups'!$A$3:$F$20,4,FALSE),"")</f>
        <v/>
      </c>
      <c r="Z157" s="13" t="str">
        <f>_xlfn.IFNA(VLOOKUP(Table2[[#This Row],[tee time4]],'6-6-6 - groups'!$A$3:$F$20,5,FALSE),"")</f>
        <v/>
      </c>
      <c r="AA157" s="69" t="str">
        <f>IF(Table2[[#This Row],[avg gap]]&lt;&gt;"",IFERROR((MAX(starting_interval,IF(Table2[[#This Row],[gap4]]="NA",Table2[[#This Row],[avg gap]],Table2[[#This Row],[gap4]]))-starting_interval)*Table2[[#This Row],[followers4]]/Table2[[#This Row],[group size4]],""),"")</f>
        <v/>
      </c>
      <c r="AB157" s="32" t="str">
        <f>_xlfn.IFNA(VLOOKUP(Table2[[#This Row],[Name]],'Fall FD - players'!$A$2:$B$65,2,FALSE),"")</f>
        <v/>
      </c>
      <c r="AC157" s="59" t="str">
        <f>IF(Table2[[#This Row],[tee time5]]&lt;&gt;"",COUNTIF('Fall FD - players'!$B$2:$B$65,"="&amp;Table2[[#This Row],[tee time5]]),"")</f>
        <v/>
      </c>
      <c r="AD157" s="59" t="str">
        <f>_xlfn.IFNA(VLOOKUP(Table2[[#This Row],[tee time5]],'Fall FD - groups'!$A$3:$F$20,6,FALSE),"")</f>
        <v/>
      </c>
      <c r="AE157" s="4" t="str">
        <f>_xlfn.IFNA(VLOOKUP(Table2[[#This Row],[tee time5]],'Fall FD - groups'!$A$3:$F$20,4,FALSE),"")</f>
        <v/>
      </c>
      <c r="AF157" s="13" t="str">
        <f>IFERROR(MIN(_xlfn.IFNA(VLOOKUP(Table2[[#This Row],[tee time5]],'Fall FD - groups'!$A$3:$F$20,5,FALSE),""),starting_interval + Table2[[#This Row],[round5]] - standard_round_time),"")</f>
        <v/>
      </c>
      <c r="AG157" s="69" t="str">
        <f>IF(AND(Table2[[#This Row],[gap5]]="NA",Table2[[#This Row],[round5]]&lt;4/24),0,IFERROR((MAX(starting_interval,IF(Table2[[#This Row],[gap5]]="NA",Table2[[#This Row],[avg gap]],Table2[[#This Row],[gap5]]))-starting_interval)*Table2[[#This Row],[followers5]]/Table2[[#This Row],[group size5]],""))</f>
        <v/>
      </c>
      <c r="AH157" s="32" t="str">
        <f>_xlfn.IFNA(VLOOKUP(Table2[[#This Row],[Name]],'Stableford - players'!$A$2:$B$65,2,FALSE),"")</f>
        <v/>
      </c>
      <c r="AI157" s="59" t="str">
        <f>IF(Table2[[#This Row],[tee time6]]&lt;&gt;"",COUNTIF('Stableford - players'!$B$2:$B$65,"="&amp;Table2[[#This Row],[tee time6]]),"")</f>
        <v/>
      </c>
      <c r="AJ157" s="59" t="str">
        <f>_xlfn.IFNA(VLOOKUP(Table2[[#This Row],[tee time6]],'Stableford - groups'!$A$3:$F$20,6,FALSE),"")</f>
        <v/>
      </c>
      <c r="AK157" s="11" t="str">
        <f>_xlfn.IFNA(VLOOKUP(Table2[[#This Row],[tee time6]],'Stableford - groups'!$A$3:$F$20,4,FALSE),"")</f>
        <v/>
      </c>
      <c r="AL157" s="13" t="str">
        <f>_xlfn.IFNA(VLOOKUP(Table2[[#This Row],[tee time6]],'Stableford - groups'!$A$3:$F$20,5,FALSE),"")</f>
        <v/>
      </c>
      <c r="AM157" s="68" t="str">
        <f>IF(AND(Table2[[#This Row],[gap6]]="NA",Table2[[#This Row],[round6]]&lt;4/24),0,IFERROR((MAX(starting_interval,IF(Table2[[#This Row],[gap6]]="NA",Table2[[#This Row],[avg gap]],Table2[[#This Row],[gap6]]))-starting_interval)*Table2[[#This Row],[followers6]]/Table2[[#This Row],[group size6]],""))</f>
        <v/>
      </c>
      <c r="AN157" s="32" t="str">
        <f>_xlfn.IFNA(VLOOKUP(Table2[[#This Row],[Name]],'Turkey Shoot - players'!$A$2:$B$65,2,FALSE),"")</f>
        <v/>
      </c>
      <c r="AO157" s="59" t="str">
        <f>IF(Table2[[#This Row],[tee time7]]&lt;&gt;"",COUNTIF('Turkey Shoot - players'!$B$2:$B$65,"="&amp;Table2[[#This Row],[tee time7]]),"")</f>
        <v/>
      </c>
      <c r="AP157" s="59" t="str">
        <f>_xlfn.IFNA(VLOOKUP(Table2[[#This Row],[tee time7]],'Stableford - groups'!$A$3:$F$20,6,FALSE),"")</f>
        <v/>
      </c>
      <c r="AQ157" s="11" t="str">
        <f>_xlfn.IFNA(VLOOKUP(Table2[[#This Row],[tee time7]],'Turkey Shoot - groups'!$A$3:$F$20,4,FALSE),"")</f>
        <v/>
      </c>
      <c r="AR157" s="13" t="str">
        <f>_xlfn.IFNA(VLOOKUP(Table2[[#This Row],[tee time7]],'Turkey Shoot - groups'!$A$3:$F$20,5,FALSE),"")</f>
        <v/>
      </c>
      <c r="AS157" s="68" t="str">
        <f>IF(AND(Table2[[#This Row],[gap7]]="NA",Table2[[#This Row],[round7]]&lt;4/24),0,IFERROR((MAX(starting_interval,IF(Table2[[#This Row],[gap7]]="NA",Table2[[#This Row],[avg gap]],Table2[[#This Row],[gap7]]))-starting_interval)*Table2[[#This Row],[followers7]]/Table2[[#This Row],[group size7]],""))</f>
        <v/>
      </c>
      <c r="AT157" s="72">
        <f>COUNT(Table2[[#This Row],[Tee time1]],Table2[[#This Row],[tee time2]],Table2[[#This Row],[tee time3]],Table2[[#This Row],[tee time4]],Table2[[#This Row],[tee time5]],Table2[[#This Row],[tee time6]],Table2[[#This Row],[tee time7]])</f>
        <v>0</v>
      </c>
      <c r="AU157" s="4" t="str">
        <f>IFERROR(AVERAGE(Table2[[#This Row],[Tee time1]],Table2[[#This Row],[tee time2]],Table2[[#This Row],[tee time3]],Table2[[#This Row],[tee time4]],Table2[[#This Row],[tee time5]],Table2[[#This Row],[tee time6]],Table2[[#This Row],[tee time7]]),"")</f>
        <v/>
      </c>
      <c r="AV157" s="11" t="str">
        <f>IFERROR(MEDIAN(Table2[[#This Row],[round1]],Table2[[#This Row],[Round2]],Table2[[#This Row],[round3]],Table2[[#This Row],[round4]],Table2[[#This Row],[round5]],Table2[[#This Row],[round6]],Table2[[#This Row],[round7]]),"")</f>
        <v/>
      </c>
      <c r="AW157" s="11" t="str">
        <f>IFERROR(AVERAGE(Table2[[#This Row],[gap1]],Table2[[#This Row],[gap2]],Table2[[#This Row],[gap3]],Table2[[#This Row],[gap4]],Table2[[#This Row],[gap5]],Table2[[#This Row],[gap6]],Table2[[#This Row],[gap7]]),"")</f>
        <v/>
      </c>
      <c r="AX157" s="9" t="str">
        <f>IFERROR((Table2[[#This Row],[avg gap]]-starting_interval)*24*60*Table2[[#This Row],[Count]],"NA")</f>
        <v>NA</v>
      </c>
      <c r="AY157"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57" s="2"/>
    </row>
    <row r="158" spans="1:52" hidden="1" x14ac:dyDescent="0.3">
      <c r="A158" s="10" t="s">
        <v>54</v>
      </c>
      <c r="B158" s="1" t="s">
        <v>292</v>
      </c>
      <c r="C158" s="19">
        <v>14</v>
      </c>
      <c r="D158" s="32" t="str">
        <f>_xlfn.IFNA(VLOOKUP(Table2[[#This Row],[Name]],'Classic day 1 - players'!$A$2:$B$64,2,FALSE),"")</f>
        <v/>
      </c>
      <c r="E158" s="33" t="str">
        <f>IF(Table2[[#This Row],[Tee time1]]&lt;&gt;"",COUNTIF('Classic day 1 - players'!$B$2:$B$64,"="&amp;Table2[[#This Row],[Tee time1]]),"")</f>
        <v/>
      </c>
      <c r="F158" s="4" t="str">
        <f>_xlfn.IFNA(VLOOKUP(Table2[[#This Row],[Tee time1]],'Classic day 1 - groups'!$A$3:$F$20,6,FALSE),"")</f>
        <v/>
      </c>
      <c r="G158" s="11" t="str">
        <f>_xlfn.IFNA(VLOOKUP(Table2[[#This Row],[Tee time1]],'Classic day 1 - groups'!$A$3:$F$20,4,FALSE),"")</f>
        <v/>
      </c>
      <c r="H158" s="12" t="str">
        <f>_xlfn.IFNA(VLOOKUP(Table2[[#This Row],[Tee time1]],'Classic day 1 - groups'!$A$3:$F$20,5,FALSE),"")</f>
        <v/>
      </c>
      <c r="I158" s="69" t="str">
        <f>IFERROR((MAX(starting_interval,IF(Table2[[#This Row],[gap1]]="NA",Table2[[#This Row],[avg gap]],Table2[[#This Row],[gap1]]))-starting_interval)*Table2[[#This Row],[followers1]]/Table2[[#This Row],[group size]],"")</f>
        <v/>
      </c>
      <c r="J158" s="32" t="str">
        <f>_xlfn.IFNA(VLOOKUP(Table2[[#This Row],[Name]],'Classic day 2 - players'!$A$2:$B$64,2,FALSE),"")</f>
        <v/>
      </c>
      <c r="K158" s="4" t="str">
        <f>IF(Table2[[#This Row],[tee time2]]&lt;&gt;"",COUNTIF('Classic day 2 - players'!$B$2:$B$64,"="&amp;Table2[[#This Row],[tee time2]]),"")</f>
        <v/>
      </c>
      <c r="L158" s="4" t="str">
        <f>_xlfn.IFNA(VLOOKUP(Table2[[#This Row],[tee time2]],'Classic day 2 - groups'!$A$3:$F$20,6,FALSE),"")</f>
        <v/>
      </c>
      <c r="M158" s="4" t="str">
        <f>_xlfn.IFNA(VLOOKUP(Table2[[#This Row],[tee time2]],'Classic day 2 - groups'!$A$3:$F$20,4,FALSE),"")</f>
        <v/>
      </c>
      <c r="N158" s="65" t="str">
        <f>_xlfn.IFNA(VLOOKUP(Table2[[#This Row],[tee time2]],'Classic day 2 - groups'!$A$3:$F$20,5,FALSE),"")</f>
        <v/>
      </c>
      <c r="O158" s="69" t="str">
        <f>IFERROR((MAX(starting_interval,IF(Table2[[#This Row],[gap2]]="NA",Table2[[#This Row],[avg gap]],Table2[[#This Row],[gap2]]))-starting_interval)*Table2[[#This Row],[followers2]]/Table2[[#This Row],[group size2]],"")</f>
        <v/>
      </c>
      <c r="P158" s="32" t="str">
        <f>_xlfn.IFNA(VLOOKUP(Table2[[#This Row],[Name]],'Summer FD - players'!$A$2:$B$65,2,FALSE),"")</f>
        <v/>
      </c>
      <c r="Q158" s="59" t="str">
        <f>IF(Table2[[#This Row],[tee time3]]&lt;&gt;"",COUNTIF('Summer FD - players'!$B$2:$B$65,"="&amp;Table2[[#This Row],[tee time3]]),"")</f>
        <v/>
      </c>
      <c r="R158" s="59" t="str">
        <f>_xlfn.IFNA(VLOOKUP(Table2[[#This Row],[tee time3]],'Summer FD - groups'!$A$3:$F$20,6,FALSE),"")</f>
        <v/>
      </c>
      <c r="S158" s="4" t="str">
        <f>_xlfn.IFNA(VLOOKUP(Table2[[#This Row],[tee time3]],'Summer FD - groups'!$A$3:$F$20,4,FALSE),"")</f>
        <v/>
      </c>
      <c r="T158" s="13" t="str">
        <f>_xlfn.IFNA(VLOOKUP(Table2[[#This Row],[tee time3]],'Summer FD - groups'!$A$3:$F$20,5,FALSE),"")</f>
        <v/>
      </c>
      <c r="U158" s="69" t="str">
        <f>IF(Table2[[#This Row],[avg gap]]&lt;&gt;"",IFERROR((MAX(starting_interval,IF(Table2[[#This Row],[gap3]]="NA",Table2[[#This Row],[avg gap]],Table2[[#This Row],[gap3]]))-starting_interval)*Table2[[#This Row],[followers3]]/Table2[[#This Row],[group size3]],""),"")</f>
        <v/>
      </c>
      <c r="V158" s="32" t="str">
        <f>_xlfn.IFNA(VLOOKUP(Table2[[#This Row],[Name]],'6-6-6 - players'!$A$2:$B$69,2,FALSE),"")</f>
        <v/>
      </c>
      <c r="W158" s="59" t="str">
        <f>IF(Table2[[#This Row],[tee time4]]&lt;&gt;"",COUNTIF('6-6-6 - players'!$B$2:$B$69,"="&amp;Table2[[#This Row],[tee time4]]),"")</f>
        <v/>
      </c>
      <c r="X158" s="59" t="str">
        <f>_xlfn.IFNA(VLOOKUP(Table2[[#This Row],[tee time4]],'6-6-6 - groups'!$A$3:$F$20,6,FALSE),"")</f>
        <v/>
      </c>
      <c r="Y158" s="4" t="str">
        <f>_xlfn.IFNA(VLOOKUP(Table2[[#This Row],[tee time4]],'6-6-6 - groups'!$A$3:$F$20,4,FALSE),"")</f>
        <v/>
      </c>
      <c r="Z158" s="13" t="str">
        <f>_xlfn.IFNA(VLOOKUP(Table2[[#This Row],[tee time4]],'6-6-6 - groups'!$A$3:$F$20,5,FALSE),"")</f>
        <v/>
      </c>
      <c r="AA158" s="69" t="str">
        <f>IF(Table2[[#This Row],[avg gap]]&lt;&gt;"",IFERROR((MAX(starting_interval,IF(Table2[[#This Row],[gap4]]="NA",Table2[[#This Row],[avg gap]],Table2[[#This Row],[gap4]]))-starting_interval)*Table2[[#This Row],[followers4]]/Table2[[#This Row],[group size4]],""),"")</f>
        <v/>
      </c>
      <c r="AB158" s="32" t="str">
        <f>_xlfn.IFNA(VLOOKUP(Table2[[#This Row],[Name]],'Fall FD - players'!$A$2:$B$65,2,FALSE),"")</f>
        <v/>
      </c>
      <c r="AC158" s="59" t="str">
        <f>IF(Table2[[#This Row],[tee time5]]&lt;&gt;"",COUNTIF('Fall FD - players'!$B$2:$B$65,"="&amp;Table2[[#This Row],[tee time5]]),"")</f>
        <v/>
      </c>
      <c r="AD158" s="59" t="str">
        <f>_xlfn.IFNA(VLOOKUP(Table2[[#This Row],[tee time5]],'Fall FD - groups'!$A$3:$F$20,6,FALSE),"")</f>
        <v/>
      </c>
      <c r="AE158" s="4" t="str">
        <f>_xlfn.IFNA(VLOOKUP(Table2[[#This Row],[tee time5]],'Fall FD - groups'!$A$3:$F$20,4,FALSE),"")</f>
        <v/>
      </c>
      <c r="AF158" s="13" t="str">
        <f>IFERROR(MIN(_xlfn.IFNA(VLOOKUP(Table2[[#This Row],[tee time5]],'Fall FD - groups'!$A$3:$F$20,5,FALSE),""),starting_interval + Table2[[#This Row],[round5]] - standard_round_time),"")</f>
        <v/>
      </c>
      <c r="AG158" s="69" t="str">
        <f>IF(AND(Table2[[#This Row],[gap5]]="NA",Table2[[#This Row],[round5]]&lt;4/24),0,IFERROR((MAX(starting_interval,IF(Table2[[#This Row],[gap5]]="NA",Table2[[#This Row],[avg gap]],Table2[[#This Row],[gap5]]))-starting_interval)*Table2[[#This Row],[followers5]]/Table2[[#This Row],[group size5]],""))</f>
        <v/>
      </c>
      <c r="AH158" s="32" t="str">
        <f>_xlfn.IFNA(VLOOKUP(Table2[[#This Row],[Name]],'Stableford - players'!$A$2:$B$65,2,FALSE),"")</f>
        <v/>
      </c>
      <c r="AI158" s="59" t="str">
        <f>IF(Table2[[#This Row],[tee time6]]&lt;&gt;"",COUNTIF('Stableford - players'!$B$2:$B$65,"="&amp;Table2[[#This Row],[tee time6]]),"")</f>
        <v/>
      </c>
      <c r="AJ158" s="59" t="str">
        <f>_xlfn.IFNA(VLOOKUP(Table2[[#This Row],[tee time6]],'Stableford - groups'!$A$3:$F$20,6,FALSE),"")</f>
        <v/>
      </c>
      <c r="AK158" s="11" t="str">
        <f>_xlfn.IFNA(VLOOKUP(Table2[[#This Row],[tee time6]],'Stableford - groups'!$A$3:$F$20,4,FALSE),"")</f>
        <v/>
      </c>
      <c r="AL158" s="13" t="str">
        <f>_xlfn.IFNA(VLOOKUP(Table2[[#This Row],[tee time6]],'Stableford - groups'!$A$3:$F$20,5,FALSE),"")</f>
        <v/>
      </c>
      <c r="AM158" s="68" t="str">
        <f>IF(AND(Table2[[#This Row],[gap6]]="NA",Table2[[#This Row],[round6]]&lt;4/24),0,IFERROR((MAX(starting_interval,IF(Table2[[#This Row],[gap6]]="NA",Table2[[#This Row],[avg gap]],Table2[[#This Row],[gap6]]))-starting_interval)*Table2[[#This Row],[followers6]]/Table2[[#This Row],[group size6]],""))</f>
        <v/>
      </c>
      <c r="AN158" s="32" t="str">
        <f>_xlfn.IFNA(VLOOKUP(Table2[[#This Row],[Name]],'Turkey Shoot - players'!$A$2:$B$65,2,FALSE),"")</f>
        <v/>
      </c>
      <c r="AO158" s="59" t="str">
        <f>IF(Table2[[#This Row],[tee time7]]&lt;&gt;"",COUNTIF('Turkey Shoot - players'!$B$2:$B$65,"="&amp;Table2[[#This Row],[tee time7]]),"")</f>
        <v/>
      </c>
      <c r="AP158" s="59" t="str">
        <f>_xlfn.IFNA(VLOOKUP(Table2[[#This Row],[tee time7]],'Stableford - groups'!$A$3:$F$20,6,FALSE),"")</f>
        <v/>
      </c>
      <c r="AQ158" s="11" t="str">
        <f>_xlfn.IFNA(VLOOKUP(Table2[[#This Row],[tee time7]],'Turkey Shoot - groups'!$A$3:$F$20,4,FALSE),"")</f>
        <v/>
      </c>
      <c r="AR158" s="13" t="str">
        <f>_xlfn.IFNA(VLOOKUP(Table2[[#This Row],[tee time7]],'Turkey Shoot - groups'!$A$3:$F$20,5,FALSE),"")</f>
        <v/>
      </c>
      <c r="AS158" s="68" t="str">
        <f>IF(AND(Table2[[#This Row],[gap7]]="NA",Table2[[#This Row],[round7]]&lt;4/24),0,IFERROR((MAX(starting_interval,IF(Table2[[#This Row],[gap7]]="NA",Table2[[#This Row],[avg gap]],Table2[[#This Row],[gap7]]))-starting_interval)*Table2[[#This Row],[followers7]]/Table2[[#This Row],[group size7]],""))</f>
        <v/>
      </c>
      <c r="AT158" s="72">
        <f>COUNT(Table2[[#This Row],[Tee time1]],Table2[[#This Row],[tee time2]],Table2[[#This Row],[tee time3]],Table2[[#This Row],[tee time4]],Table2[[#This Row],[tee time5]],Table2[[#This Row],[tee time6]],Table2[[#This Row],[tee time7]])</f>
        <v>0</v>
      </c>
      <c r="AU158" s="4" t="str">
        <f>IFERROR(AVERAGE(Table2[[#This Row],[Tee time1]],Table2[[#This Row],[tee time2]],Table2[[#This Row],[tee time3]],Table2[[#This Row],[tee time4]],Table2[[#This Row],[tee time5]],Table2[[#This Row],[tee time6]],Table2[[#This Row],[tee time7]]),"")</f>
        <v/>
      </c>
      <c r="AV158" s="11" t="str">
        <f>IFERROR(MEDIAN(Table2[[#This Row],[round1]],Table2[[#This Row],[Round2]],Table2[[#This Row],[round3]],Table2[[#This Row],[round4]],Table2[[#This Row],[round5]],Table2[[#This Row],[round6]],Table2[[#This Row],[round7]]),"")</f>
        <v/>
      </c>
      <c r="AW158" s="11" t="str">
        <f>IFERROR(AVERAGE(Table2[[#This Row],[gap1]],Table2[[#This Row],[gap2]],Table2[[#This Row],[gap3]],Table2[[#This Row],[gap4]],Table2[[#This Row],[gap5]],Table2[[#This Row],[gap6]],Table2[[#This Row],[gap7]]),"")</f>
        <v/>
      </c>
      <c r="AX158" s="9" t="str">
        <f>IFERROR((Table2[[#This Row],[avg gap]]-starting_interval)*24*60*Table2[[#This Row],[Count]],"NA")</f>
        <v>NA</v>
      </c>
      <c r="AY158"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58" s="2"/>
    </row>
    <row r="159" spans="1:52" x14ac:dyDescent="0.3">
      <c r="A159" s="10" t="s">
        <v>474</v>
      </c>
      <c r="B159" s="28"/>
      <c r="C159" s="29"/>
      <c r="D159" s="32" t="str">
        <f>_xlfn.IFNA(VLOOKUP(Table2[[#This Row],[Name]],'Classic day 1 - players'!$A$2:$B$64,2,FALSE),"")</f>
        <v/>
      </c>
      <c r="E159" s="33" t="str">
        <f>IF(Table2[[#This Row],[Tee time1]]&lt;&gt;"",COUNTIF('Classic day 1 - players'!$B$2:$B$64,"="&amp;Table2[[#This Row],[Tee time1]]),"")</f>
        <v/>
      </c>
      <c r="F159" s="33" t="str">
        <f>_xlfn.IFNA(VLOOKUP(Table2[[#This Row],[Tee time1]],'Classic day 1 - groups'!$A$3:$F$20,6,FALSE),"")</f>
        <v/>
      </c>
      <c r="G159" s="11" t="str">
        <f>_xlfn.IFNA(VLOOKUP(Table2[[#This Row],[Tee time1]],'Classic day 1 - groups'!$A$3:$F$20,4,FALSE),"")</f>
        <v/>
      </c>
      <c r="H159" s="12" t="str">
        <f>_xlfn.IFNA(VLOOKUP(Table2[[#This Row],[Tee time1]],'Classic day 1 - groups'!$A$3:$F$20,5,FALSE),"")</f>
        <v/>
      </c>
      <c r="I159" s="69" t="str">
        <f>IFERROR((MAX(starting_interval,IF(Table2[[#This Row],[gap1]]="NA",Table2[[#This Row],[avg gap]],Table2[[#This Row],[gap1]]))-starting_interval)*Table2[[#This Row],[followers1]]/Table2[[#This Row],[group size]],"")</f>
        <v/>
      </c>
      <c r="J159" s="32" t="str">
        <f>_xlfn.IFNA(VLOOKUP(Table2[[#This Row],[Name]],'Classic day 2 - players'!$A$2:$B$64,2,FALSE),"")</f>
        <v/>
      </c>
      <c r="K159" s="33" t="str">
        <f>IF(Table2[[#This Row],[tee time2]]&lt;&gt;"",COUNTIF('Classic day 2 - players'!$B$2:$B$64,"="&amp;Table2[[#This Row],[tee time2]]),"")</f>
        <v/>
      </c>
      <c r="L159" s="33" t="str">
        <f>_xlfn.IFNA(VLOOKUP(Table2[[#This Row],[tee time2]],'Classic day 2 - groups'!$A$3:$F$20,6,FALSE),"")</f>
        <v/>
      </c>
      <c r="M159" s="4" t="str">
        <f>_xlfn.IFNA(VLOOKUP(Table2[[#This Row],[tee time2]],'Classic day 2 - groups'!$A$3:$F$20,4,FALSE),"")</f>
        <v/>
      </c>
      <c r="N159" s="65" t="str">
        <f>_xlfn.IFNA(VLOOKUP(Table2[[#This Row],[tee time2]],'Classic day 2 - groups'!$A$3:$F$20,5,FALSE),"")</f>
        <v/>
      </c>
      <c r="O159" s="69" t="str">
        <f>IFERROR((MAX(starting_interval,IF(Table2[[#This Row],[gap2]]="NA",Table2[[#This Row],[avg gap]],Table2[[#This Row],[gap2]]))-starting_interval)*Table2[[#This Row],[followers2]]/Table2[[#This Row],[group size2]],"")</f>
        <v/>
      </c>
      <c r="P159" s="32" t="str">
        <f>_xlfn.IFNA(VLOOKUP(Table2[[#This Row],[Name]],'Summer FD - players'!$A$2:$B$65,2,FALSE),"")</f>
        <v/>
      </c>
      <c r="Q159" s="59" t="str">
        <f>IF(Table2[[#This Row],[tee time3]]&lt;&gt;"",COUNTIF('Summer FD - players'!$B$2:$B$65,"="&amp;Table2[[#This Row],[tee time3]]),"")</f>
        <v/>
      </c>
      <c r="R159" s="59" t="str">
        <f>_xlfn.IFNA(VLOOKUP(Table2[[#This Row],[tee time3]],'Summer FD - groups'!$A$3:$F$20,6,FALSE),"")</f>
        <v/>
      </c>
      <c r="S159" s="4" t="str">
        <f>_xlfn.IFNA(VLOOKUP(Table2[[#This Row],[tee time3]],'Summer FD - groups'!$A$3:$F$20,4,FALSE),"")</f>
        <v/>
      </c>
      <c r="T159" s="13" t="str">
        <f>_xlfn.IFNA(VLOOKUP(Table2[[#This Row],[tee time3]],'Summer FD - groups'!$A$3:$F$20,5,FALSE),"")</f>
        <v/>
      </c>
      <c r="U159" s="69" t="str">
        <f>IF(Table2[[#This Row],[avg gap]]&lt;&gt;"",IFERROR((MAX(starting_interval,IF(Table2[[#This Row],[gap3]]="NA",Table2[[#This Row],[avg gap]],Table2[[#This Row],[gap3]]))-starting_interval)*Table2[[#This Row],[followers3]]/Table2[[#This Row],[group size3]],""),"")</f>
        <v/>
      </c>
      <c r="V159" s="32">
        <f>_xlfn.IFNA(VLOOKUP(Table2[[#This Row],[Name]],'6-6-6 - players'!$A$2:$B$69,2,FALSE),"")</f>
        <v>0.4513888888888889</v>
      </c>
      <c r="W159" s="59">
        <f>IF(Table2[[#This Row],[tee time4]]&lt;&gt;"",COUNTIF('6-6-6 - players'!$B$2:$B$69,"="&amp;Table2[[#This Row],[tee time4]]),"")</f>
        <v>2</v>
      </c>
      <c r="X159" s="59">
        <f>_xlfn.IFNA(VLOOKUP(Table2[[#This Row],[tee time4]],'6-6-6 - groups'!$A$3:$F$20,6,FALSE),"")</f>
        <v>0</v>
      </c>
      <c r="Y159" s="4">
        <f>_xlfn.IFNA(VLOOKUP(Table2[[#This Row],[tee time4]],'6-6-6 - groups'!$A$3:$F$20,4,FALSE),"")</f>
        <v>0.18819444444444439</v>
      </c>
      <c r="Z159" s="13">
        <f>_xlfn.IFNA(VLOOKUP(Table2[[#This Row],[tee time4]],'6-6-6 - groups'!$A$3:$F$20,5,FALSE),"")</f>
        <v>3.4722222222220989E-3</v>
      </c>
      <c r="AA159" s="69">
        <f>IF(Table2[[#This Row],[avg gap]]&lt;&gt;"",IFERROR((MAX(starting_interval,IF(Table2[[#This Row],[gap4]]="NA",Table2[[#This Row],[avg gap]],Table2[[#This Row],[gap4]]))-starting_interval)*Table2[[#This Row],[followers4]]/Table2[[#This Row],[group size4]],""),"")</f>
        <v>0</v>
      </c>
      <c r="AB159" s="32" t="str">
        <f>_xlfn.IFNA(VLOOKUP(Table2[[#This Row],[Name]],'Fall FD - players'!$A$2:$B$65,2,FALSE),"")</f>
        <v/>
      </c>
      <c r="AC159" s="59" t="str">
        <f>IF(Table2[[#This Row],[tee time5]]&lt;&gt;"",COUNTIF('Fall FD - players'!$B$2:$B$65,"="&amp;Table2[[#This Row],[tee time5]]),"")</f>
        <v/>
      </c>
      <c r="AD159" s="59" t="str">
        <f>_xlfn.IFNA(VLOOKUP(Table2[[#This Row],[tee time5]],'Fall FD - groups'!$A$3:$F$20,6,FALSE),"")</f>
        <v/>
      </c>
      <c r="AE159" s="4" t="str">
        <f>_xlfn.IFNA(VLOOKUP(Table2[[#This Row],[tee time5]],'Fall FD - groups'!$A$3:$F$20,4,FALSE),"")</f>
        <v/>
      </c>
      <c r="AF159" s="13" t="str">
        <f>IFERROR(MIN(_xlfn.IFNA(VLOOKUP(Table2[[#This Row],[tee time5]],'Fall FD - groups'!$A$3:$F$20,5,FALSE),""),starting_interval + Table2[[#This Row],[round5]] - standard_round_time),"")</f>
        <v/>
      </c>
      <c r="AG159" s="69" t="str">
        <f>IF(AND(Table2[[#This Row],[gap5]]="NA",Table2[[#This Row],[round5]]&lt;4/24),0,IFERROR((MAX(starting_interval,IF(Table2[[#This Row],[gap5]]="NA",Table2[[#This Row],[avg gap]],Table2[[#This Row],[gap5]]))-starting_interval)*Table2[[#This Row],[followers5]]/Table2[[#This Row],[group size5]],""))</f>
        <v/>
      </c>
      <c r="AH159" s="32" t="str">
        <f>_xlfn.IFNA(VLOOKUP(Table2[[#This Row],[Name]],'Stableford - players'!$A$2:$B$65,2,FALSE),"")</f>
        <v/>
      </c>
      <c r="AI159" s="59" t="str">
        <f>IF(Table2[[#This Row],[tee time6]]&lt;&gt;"",COUNTIF('Stableford - players'!$B$2:$B$65,"="&amp;Table2[[#This Row],[tee time6]]),"")</f>
        <v/>
      </c>
      <c r="AJ159" s="59" t="str">
        <f>_xlfn.IFNA(VLOOKUP(Table2[[#This Row],[tee time6]],'Stableford - groups'!$A$3:$F$20,6,FALSE),"")</f>
        <v/>
      </c>
      <c r="AK159" s="11" t="str">
        <f>_xlfn.IFNA(VLOOKUP(Table2[[#This Row],[tee time6]],'Stableford - groups'!$A$3:$F$20,4,FALSE),"")</f>
        <v/>
      </c>
      <c r="AL159" s="13" t="str">
        <f>_xlfn.IFNA(VLOOKUP(Table2[[#This Row],[tee time6]],'Stableford - groups'!$A$3:$F$20,5,FALSE),"")</f>
        <v/>
      </c>
      <c r="AM159" s="68" t="str">
        <f>IF(AND(Table2[[#This Row],[gap6]]="NA",Table2[[#This Row],[round6]]&lt;4/24),0,IFERROR((MAX(starting_interval,IF(Table2[[#This Row],[gap6]]="NA",Table2[[#This Row],[avg gap]],Table2[[#This Row],[gap6]]))-starting_interval)*Table2[[#This Row],[followers6]]/Table2[[#This Row],[group size6]],""))</f>
        <v/>
      </c>
      <c r="AN159" s="32" t="str">
        <f>_xlfn.IFNA(VLOOKUP(Table2[[#This Row],[Name]],'Turkey Shoot - players'!$A$2:$B$65,2,FALSE),"")</f>
        <v/>
      </c>
      <c r="AO159" s="59" t="str">
        <f>IF(Table2[[#This Row],[tee time7]]&lt;&gt;"",COUNTIF('Turkey Shoot - players'!$B$2:$B$65,"="&amp;Table2[[#This Row],[tee time7]]),"")</f>
        <v/>
      </c>
      <c r="AP159" s="59" t="str">
        <f>_xlfn.IFNA(VLOOKUP(Table2[[#This Row],[tee time7]],'Stableford - groups'!$A$3:$F$20,6,FALSE),"")</f>
        <v/>
      </c>
      <c r="AQ159" s="11" t="str">
        <f>_xlfn.IFNA(VLOOKUP(Table2[[#This Row],[tee time7]],'Turkey Shoot - groups'!$A$3:$F$20,4,FALSE),"")</f>
        <v/>
      </c>
      <c r="AR159" s="13" t="str">
        <f>_xlfn.IFNA(VLOOKUP(Table2[[#This Row],[tee time7]],'Turkey Shoot - groups'!$A$3:$F$20,5,FALSE),"")</f>
        <v/>
      </c>
      <c r="AS159" s="68" t="str">
        <f>IF(AND(Table2[[#This Row],[gap7]]="NA",Table2[[#This Row],[round7]]&lt;4/24),0,IFERROR((MAX(starting_interval,IF(Table2[[#This Row],[gap7]]="NA",Table2[[#This Row],[avg gap]],Table2[[#This Row],[gap7]]))-starting_interval)*Table2[[#This Row],[followers7]]/Table2[[#This Row],[group size7]],""))</f>
        <v/>
      </c>
      <c r="AT159" s="72">
        <f>COUNT(Table2[[#This Row],[Tee time1]],Table2[[#This Row],[tee time2]],Table2[[#This Row],[tee time3]],Table2[[#This Row],[tee time4]],Table2[[#This Row],[tee time5]],Table2[[#This Row],[tee time6]],Table2[[#This Row],[tee time7]])</f>
        <v>1</v>
      </c>
      <c r="AU159" s="4">
        <f>IFERROR(AVERAGE(Table2[[#This Row],[Tee time1]],Table2[[#This Row],[tee time2]],Table2[[#This Row],[tee time3]],Table2[[#This Row],[tee time4]],Table2[[#This Row],[tee time5]],Table2[[#This Row],[tee time6]],Table2[[#This Row],[tee time7]]),"")</f>
        <v>0.4513888888888889</v>
      </c>
      <c r="AV159" s="11">
        <f>IFERROR(MEDIAN(Table2[[#This Row],[round1]],Table2[[#This Row],[Round2]],Table2[[#This Row],[round3]],Table2[[#This Row],[round4]],Table2[[#This Row],[round5]],Table2[[#This Row],[round6]],Table2[[#This Row],[round7]]),"")</f>
        <v>0.18819444444444439</v>
      </c>
      <c r="AW159" s="11">
        <f>IFERROR(AVERAGE(Table2[[#This Row],[gap1]],Table2[[#This Row],[gap2]],Table2[[#This Row],[gap3]],Table2[[#This Row],[gap4]],Table2[[#This Row],[gap5]],Table2[[#This Row],[gap6]],Table2[[#This Row],[gap7]]),"")</f>
        <v>3.4722222222220989E-3</v>
      </c>
      <c r="AX159" s="9">
        <f>IFERROR((Table2[[#This Row],[avg gap]]-starting_interval)*24*60*Table2[[#This Row],[Count]],"NA")</f>
        <v>-5.0000000000001767</v>
      </c>
      <c r="AY15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59" s="2"/>
    </row>
    <row r="160" spans="1:52" hidden="1" x14ac:dyDescent="0.3">
      <c r="A160" s="10" t="s">
        <v>62</v>
      </c>
      <c r="B160" s="1" t="s">
        <v>300</v>
      </c>
      <c r="C160" s="19">
        <v>15.3</v>
      </c>
      <c r="D160" s="32" t="str">
        <f>_xlfn.IFNA(VLOOKUP(Table2[[#This Row],[Name]],'Classic day 1 - players'!$A$2:$B$64,2,FALSE),"")</f>
        <v/>
      </c>
      <c r="E160" s="33" t="str">
        <f>IF(Table2[[#This Row],[Tee time1]]&lt;&gt;"",COUNTIF('Classic day 1 - players'!$B$2:$B$64,"="&amp;Table2[[#This Row],[Tee time1]]),"")</f>
        <v/>
      </c>
      <c r="F160" s="4" t="str">
        <f>_xlfn.IFNA(VLOOKUP(Table2[[#This Row],[Tee time1]],'Classic day 1 - groups'!$A$3:$F$20,6,FALSE),"")</f>
        <v/>
      </c>
      <c r="G160" s="11" t="str">
        <f>_xlfn.IFNA(VLOOKUP(Table2[[#This Row],[Tee time1]],'Classic day 1 - groups'!$A$3:$F$20,4,FALSE),"")</f>
        <v/>
      </c>
      <c r="H160" s="12" t="str">
        <f>_xlfn.IFNA(VLOOKUP(Table2[[#This Row],[Tee time1]],'Classic day 1 - groups'!$A$3:$F$20,5,FALSE),"")</f>
        <v/>
      </c>
      <c r="I160" s="69" t="str">
        <f>IFERROR((MAX(starting_interval,IF(Table2[[#This Row],[gap1]]="NA",Table2[[#This Row],[avg gap]],Table2[[#This Row],[gap1]]))-starting_interval)*Table2[[#This Row],[followers1]]/Table2[[#This Row],[group size]],"")</f>
        <v/>
      </c>
      <c r="J160" s="32" t="str">
        <f>_xlfn.IFNA(VLOOKUP(Table2[[#This Row],[Name]],'Classic day 2 - players'!$A$2:$B$64,2,FALSE),"")</f>
        <v/>
      </c>
      <c r="K160" s="4" t="str">
        <f>IF(Table2[[#This Row],[tee time2]]&lt;&gt;"",COUNTIF('Classic day 2 - players'!$B$2:$B$64,"="&amp;Table2[[#This Row],[tee time2]]),"")</f>
        <v/>
      </c>
      <c r="L160" s="4" t="str">
        <f>_xlfn.IFNA(VLOOKUP(Table2[[#This Row],[tee time2]],'Classic day 2 - groups'!$A$3:$F$20,6,FALSE),"")</f>
        <v/>
      </c>
      <c r="M160" s="4" t="str">
        <f>_xlfn.IFNA(VLOOKUP(Table2[[#This Row],[tee time2]],'Classic day 2 - groups'!$A$3:$F$20,4,FALSE),"")</f>
        <v/>
      </c>
      <c r="N160" s="65" t="str">
        <f>_xlfn.IFNA(VLOOKUP(Table2[[#This Row],[tee time2]],'Classic day 2 - groups'!$A$3:$F$20,5,FALSE),"")</f>
        <v/>
      </c>
      <c r="O160" s="69" t="str">
        <f>IFERROR((MAX(starting_interval,IF(Table2[[#This Row],[gap2]]="NA",Table2[[#This Row],[avg gap]],Table2[[#This Row],[gap2]]))-starting_interval)*Table2[[#This Row],[followers2]]/Table2[[#This Row],[group size2]],"")</f>
        <v/>
      </c>
      <c r="P160" s="32" t="str">
        <f>_xlfn.IFNA(VLOOKUP(Table2[[#This Row],[Name]],'Summer FD - players'!$A$2:$B$65,2,FALSE),"")</f>
        <v/>
      </c>
      <c r="Q160" s="59" t="str">
        <f>IF(Table2[[#This Row],[tee time3]]&lt;&gt;"",COUNTIF('Summer FD - players'!$B$2:$B$65,"="&amp;Table2[[#This Row],[tee time3]]),"")</f>
        <v/>
      </c>
      <c r="R160" s="59" t="str">
        <f>_xlfn.IFNA(VLOOKUP(Table2[[#This Row],[tee time3]],'Summer FD - groups'!$A$3:$F$20,6,FALSE),"")</f>
        <v/>
      </c>
      <c r="S160" s="4" t="str">
        <f>_xlfn.IFNA(VLOOKUP(Table2[[#This Row],[tee time3]],'Summer FD - groups'!$A$3:$F$20,4,FALSE),"")</f>
        <v/>
      </c>
      <c r="T160" s="13" t="str">
        <f>_xlfn.IFNA(VLOOKUP(Table2[[#This Row],[tee time3]],'Summer FD - groups'!$A$3:$F$20,5,FALSE),"")</f>
        <v/>
      </c>
      <c r="U160" s="69" t="str">
        <f>IF(Table2[[#This Row],[avg gap]]&lt;&gt;"",IFERROR((MAX(starting_interval,IF(Table2[[#This Row],[gap3]]="NA",Table2[[#This Row],[avg gap]],Table2[[#This Row],[gap3]]))-starting_interval)*Table2[[#This Row],[followers3]]/Table2[[#This Row],[group size3]],""),"")</f>
        <v/>
      </c>
      <c r="V160" s="32" t="str">
        <f>_xlfn.IFNA(VLOOKUP(Table2[[#This Row],[Name]],'6-6-6 - players'!$A$2:$B$69,2,FALSE),"")</f>
        <v/>
      </c>
      <c r="W160" s="59" t="str">
        <f>IF(Table2[[#This Row],[tee time4]]&lt;&gt;"",COUNTIF('6-6-6 - players'!$B$2:$B$69,"="&amp;Table2[[#This Row],[tee time4]]),"")</f>
        <v/>
      </c>
      <c r="X160" s="59" t="str">
        <f>_xlfn.IFNA(VLOOKUP(Table2[[#This Row],[tee time4]],'6-6-6 - groups'!$A$3:$F$20,6,FALSE),"")</f>
        <v/>
      </c>
      <c r="Y160" s="4" t="str">
        <f>_xlfn.IFNA(VLOOKUP(Table2[[#This Row],[tee time4]],'6-6-6 - groups'!$A$3:$F$20,4,FALSE),"")</f>
        <v/>
      </c>
      <c r="Z160" s="13" t="str">
        <f>_xlfn.IFNA(VLOOKUP(Table2[[#This Row],[tee time4]],'6-6-6 - groups'!$A$3:$F$20,5,FALSE),"")</f>
        <v/>
      </c>
      <c r="AA160" s="69" t="str">
        <f>IF(Table2[[#This Row],[avg gap]]&lt;&gt;"",IFERROR((MAX(starting_interval,IF(Table2[[#This Row],[gap4]]="NA",Table2[[#This Row],[avg gap]],Table2[[#This Row],[gap4]]))-starting_interval)*Table2[[#This Row],[followers4]]/Table2[[#This Row],[group size4]],""),"")</f>
        <v/>
      </c>
      <c r="AB160" s="32" t="str">
        <f>_xlfn.IFNA(VLOOKUP(Table2[[#This Row],[Name]],'Fall FD - players'!$A$2:$B$65,2,FALSE),"")</f>
        <v/>
      </c>
      <c r="AC160" s="59" t="str">
        <f>IF(Table2[[#This Row],[tee time5]]&lt;&gt;"",COUNTIF('Fall FD - players'!$B$2:$B$65,"="&amp;Table2[[#This Row],[tee time5]]),"")</f>
        <v/>
      </c>
      <c r="AD160" s="59" t="str">
        <f>_xlfn.IFNA(VLOOKUP(Table2[[#This Row],[tee time5]],'Fall FD - groups'!$A$3:$F$20,6,FALSE),"")</f>
        <v/>
      </c>
      <c r="AE160" s="4" t="str">
        <f>_xlfn.IFNA(VLOOKUP(Table2[[#This Row],[tee time5]],'Fall FD - groups'!$A$3:$F$20,4,FALSE),"")</f>
        <v/>
      </c>
      <c r="AF160" s="13" t="str">
        <f>IFERROR(MIN(_xlfn.IFNA(VLOOKUP(Table2[[#This Row],[tee time5]],'Fall FD - groups'!$A$3:$F$20,5,FALSE),""),starting_interval + Table2[[#This Row],[round5]] - standard_round_time),"")</f>
        <v/>
      </c>
      <c r="AG160" s="69" t="str">
        <f>IF(AND(Table2[[#This Row],[gap5]]="NA",Table2[[#This Row],[round5]]&lt;4/24),0,IFERROR((MAX(starting_interval,IF(Table2[[#This Row],[gap5]]="NA",Table2[[#This Row],[avg gap]],Table2[[#This Row],[gap5]]))-starting_interval)*Table2[[#This Row],[followers5]]/Table2[[#This Row],[group size5]],""))</f>
        <v/>
      </c>
      <c r="AH160" s="32" t="str">
        <f>_xlfn.IFNA(VLOOKUP(Table2[[#This Row],[Name]],'Stableford - players'!$A$2:$B$65,2,FALSE),"")</f>
        <v/>
      </c>
      <c r="AI160" s="59" t="str">
        <f>IF(Table2[[#This Row],[tee time6]]&lt;&gt;"",COUNTIF('Stableford - players'!$B$2:$B$65,"="&amp;Table2[[#This Row],[tee time6]]),"")</f>
        <v/>
      </c>
      <c r="AJ160" s="59" t="str">
        <f>_xlfn.IFNA(VLOOKUP(Table2[[#This Row],[tee time6]],'Stableford - groups'!$A$3:$F$20,6,FALSE),"")</f>
        <v/>
      </c>
      <c r="AK160" s="11" t="str">
        <f>_xlfn.IFNA(VLOOKUP(Table2[[#This Row],[tee time6]],'Stableford - groups'!$A$3:$F$20,4,FALSE),"")</f>
        <v/>
      </c>
      <c r="AL160" s="13" t="str">
        <f>_xlfn.IFNA(VLOOKUP(Table2[[#This Row],[tee time6]],'Stableford - groups'!$A$3:$F$20,5,FALSE),"")</f>
        <v/>
      </c>
      <c r="AM160" s="68" t="str">
        <f>IF(AND(Table2[[#This Row],[gap6]]="NA",Table2[[#This Row],[round6]]&lt;4/24),0,IFERROR((MAX(starting_interval,IF(Table2[[#This Row],[gap6]]="NA",Table2[[#This Row],[avg gap]],Table2[[#This Row],[gap6]]))-starting_interval)*Table2[[#This Row],[followers6]]/Table2[[#This Row],[group size6]],""))</f>
        <v/>
      </c>
      <c r="AN160" s="32" t="str">
        <f>_xlfn.IFNA(VLOOKUP(Table2[[#This Row],[Name]],'Turkey Shoot - players'!$A$2:$B$65,2,FALSE),"")</f>
        <v/>
      </c>
      <c r="AO160" s="59" t="str">
        <f>IF(Table2[[#This Row],[tee time7]]&lt;&gt;"",COUNTIF('Turkey Shoot - players'!$B$2:$B$65,"="&amp;Table2[[#This Row],[tee time7]]),"")</f>
        <v/>
      </c>
      <c r="AP160" s="59" t="str">
        <f>_xlfn.IFNA(VLOOKUP(Table2[[#This Row],[tee time7]],'Stableford - groups'!$A$3:$F$20,6,FALSE),"")</f>
        <v/>
      </c>
      <c r="AQ160" s="11" t="str">
        <f>_xlfn.IFNA(VLOOKUP(Table2[[#This Row],[tee time7]],'Turkey Shoot - groups'!$A$3:$F$20,4,FALSE),"")</f>
        <v/>
      </c>
      <c r="AR160" s="13" t="str">
        <f>_xlfn.IFNA(VLOOKUP(Table2[[#This Row],[tee time7]],'Turkey Shoot - groups'!$A$3:$F$20,5,FALSE),"")</f>
        <v/>
      </c>
      <c r="AS160" s="68" t="str">
        <f>IF(AND(Table2[[#This Row],[gap7]]="NA",Table2[[#This Row],[round7]]&lt;4/24),0,IFERROR((MAX(starting_interval,IF(Table2[[#This Row],[gap7]]="NA",Table2[[#This Row],[avg gap]],Table2[[#This Row],[gap7]]))-starting_interval)*Table2[[#This Row],[followers7]]/Table2[[#This Row],[group size7]],""))</f>
        <v/>
      </c>
      <c r="AT160" s="72">
        <f>COUNT(Table2[[#This Row],[Tee time1]],Table2[[#This Row],[tee time2]],Table2[[#This Row],[tee time3]],Table2[[#This Row],[tee time4]],Table2[[#This Row],[tee time5]],Table2[[#This Row],[tee time6]],Table2[[#This Row],[tee time7]])</f>
        <v>0</v>
      </c>
      <c r="AU160" s="4" t="str">
        <f>IFERROR(AVERAGE(Table2[[#This Row],[Tee time1]],Table2[[#This Row],[tee time2]],Table2[[#This Row],[tee time3]],Table2[[#This Row],[tee time4]],Table2[[#This Row],[tee time5]],Table2[[#This Row],[tee time6]],Table2[[#This Row],[tee time7]]),"")</f>
        <v/>
      </c>
      <c r="AV160" s="11" t="str">
        <f>IFERROR(MEDIAN(Table2[[#This Row],[round1]],Table2[[#This Row],[Round2]],Table2[[#This Row],[round3]],Table2[[#This Row],[round4]],Table2[[#This Row],[round5]],Table2[[#This Row],[round6]],Table2[[#This Row],[round7]]),"")</f>
        <v/>
      </c>
      <c r="AW160" s="11" t="str">
        <f>IFERROR(AVERAGE(Table2[[#This Row],[gap1]],Table2[[#This Row],[gap2]],Table2[[#This Row],[gap3]],Table2[[#This Row],[gap4]],Table2[[#This Row],[gap5]],Table2[[#This Row],[gap6]],Table2[[#This Row],[gap7]]),"")</f>
        <v/>
      </c>
      <c r="AX160" s="9" t="str">
        <f>IFERROR((Table2[[#This Row],[avg gap]]-starting_interval)*24*60*Table2[[#This Row],[Count]],"NA")</f>
        <v>NA</v>
      </c>
      <c r="AY160"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60" s="2"/>
    </row>
    <row r="161" spans="1:52" hidden="1" x14ac:dyDescent="0.3">
      <c r="A161" s="10" t="s">
        <v>63</v>
      </c>
      <c r="B161" s="1" t="s">
        <v>301</v>
      </c>
      <c r="C161" s="19">
        <v>13.6</v>
      </c>
      <c r="D161" s="32" t="str">
        <f>_xlfn.IFNA(VLOOKUP(Table2[[#This Row],[Name]],'Classic day 1 - players'!$A$2:$B$64,2,FALSE),"")</f>
        <v/>
      </c>
      <c r="E161" s="33" t="str">
        <f>IF(Table2[[#This Row],[Tee time1]]&lt;&gt;"",COUNTIF('Classic day 1 - players'!$B$2:$B$64,"="&amp;Table2[[#This Row],[Tee time1]]),"")</f>
        <v/>
      </c>
      <c r="F161" s="4" t="str">
        <f>_xlfn.IFNA(VLOOKUP(Table2[[#This Row],[Tee time1]],'Classic day 1 - groups'!$A$3:$F$20,6,FALSE),"")</f>
        <v/>
      </c>
      <c r="G161" s="11" t="str">
        <f>_xlfn.IFNA(VLOOKUP(Table2[[#This Row],[Tee time1]],'Classic day 1 - groups'!$A$3:$F$20,4,FALSE),"")</f>
        <v/>
      </c>
      <c r="H161" s="12" t="str">
        <f>_xlfn.IFNA(VLOOKUP(Table2[[#This Row],[Tee time1]],'Classic day 1 - groups'!$A$3:$F$20,5,FALSE),"")</f>
        <v/>
      </c>
      <c r="I161" s="69" t="str">
        <f>IFERROR((MAX(starting_interval,IF(Table2[[#This Row],[gap1]]="NA",Table2[[#This Row],[avg gap]],Table2[[#This Row],[gap1]]))-starting_interval)*Table2[[#This Row],[followers1]]/Table2[[#This Row],[group size]],"")</f>
        <v/>
      </c>
      <c r="J161" s="32" t="str">
        <f>_xlfn.IFNA(VLOOKUP(Table2[[#This Row],[Name]],'Classic day 2 - players'!$A$2:$B$64,2,FALSE),"")</f>
        <v/>
      </c>
      <c r="K161" s="4" t="str">
        <f>IF(Table2[[#This Row],[tee time2]]&lt;&gt;"",COUNTIF('Classic day 2 - players'!$B$2:$B$64,"="&amp;Table2[[#This Row],[tee time2]]),"")</f>
        <v/>
      </c>
      <c r="L161" s="4" t="str">
        <f>_xlfn.IFNA(VLOOKUP(Table2[[#This Row],[tee time2]],'Classic day 2 - groups'!$A$3:$F$20,6,FALSE),"")</f>
        <v/>
      </c>
      <c r="M161" s="4" t="str">
        <f>_xlfn.IFNA(VLOOKUP(Table2[[#This Row],[tee time2]],'Classic day 2 - groups'!$A$3:$F$20,4,FALSE),"")</f>
        <v/>
      </c>
      <c r="N161" s="65" t="str">
        <f>_xlfn.IFNA(VLOOKUP(Table2[[#This Row],[tee time2]],'Classic day 2 - groups'!$A$3:$F$20,5,FALSE),"")</f>
        <v/>
      </c>
      <c r="O161" s="69" t="str">
        <f>IFERROR((MAX(starting_interval,IF(Table2[[#This Row],[gap2]]="NA",Table2[[#This Row],[avg gap]],Table2[[#This Row],[gap2]]))-starting_interval)*Table2[[#This Row],[followers2]]/Table2[[#This Row],[group size2]],"")</f>
        <v/>
      </c>
      <c r="P161" s="32" t="str">
        <f>_xlfn.IFNA(VLOOKUP(Table2[[#This Row],[Name]],'Summer FD - players'!$A$2:$B$65,2,FALSE),"")</f>
        <v/>
      </c>
      <c r="Q161" s="59" t="str">
        <f>IF(Table2[[#This Row],[tee time3]]&lt;&gt;"",COUNTIF('Summer FD - players'!$B$2:$B$65,"="&amp;Table2[[#This Row],[tee time3]]),"")</f>
        <v/>
      </c>
      <c r="R161" s="59" t="str">
        <f>_xlfn.IFNA(VLOOKUP(Table2[[#This Row],[tee time3]],'Summer FD - groups'!$A$3:$F$20,6,FALSE),"")</f>
        <v/>
      </c>
      <c r="S161" s="4" t="str">
        <f>_xlfn.IFNA(VLOOKUP(Table2[[#This Row],[tee time3]],'Summer FD - groups'!$A$3:$F$20,4,FALSE),"")</f>
        <v/>
      </c>
      <c r="T161" s="13" t="str">
        <f>_xlfn.IFNA(VLOOKUP(Table2[[#This Row],[tee time3]],'Summer FD - groups'!$A$3:$F$20,5,FALSE),"")</f>
        <v/>
      </c>
      <c r="U161" s="69" t="str">
        <f>IF(Table2[[#This Row],[avg gap]]&lt;&gt;"",IFERROR((MAX(starting_interval,IF(Table2[[#This Row],[gap3]]="NA",Table2[[#This Row],[avg gap]],Table2[[#This Row],[gap3]]))-starting_interval)*Table2[[#This Row],[followers3]]/Table2[[#This Row],[group size3]],""),"")</f>
        <v/>
      </c>
      <c r="V161" s="32" t="str">
        <f>_xlfn.IFNA(VLOOKUP(Table2[[#This Row],[Name]],'6-6-6 - players'!$A$2:$B$69,2,FALSE),"")</f>
        <v/>
      </c>
      <c r="W161" s="59" t="str">
        <f>IF(Table2[[#This Row],[tee time4]]&lt;&gt;"",COUNTIF('6-6-6 - players'!$B$2:$B$69,"="&amp;Table2[[#This Row],[tee time4]]),"")</f>
        <v/>
      </c>
      <c r="X161" s="59" t="str">
        <f>_xlfn.IFNA(VLOOKUP(Table2[[#This Row],[tee time4]],'6-6-6 - groups'!$A$3:$F$20,6,FALSE),"")</f>
        <v/>
      </c>
      <c r="Y161" s="4" t="str">
        <f>_xlfn.IFNA(VLOOKUP(Table2[[#This Row],[tee time4]],'6-6-6 - groups'!$A$3:$F$20,4,FALSE),"")</f>
        <v/>
      </c>
      <c r="Z161" s="13" t="str">
        <f>_xlfn.IFNA(VLOOKUP(Table2[[#This Row],[tee time4]],'6-6-6 - groups'!$A$3:$F$20,5,FALSE),"")</f>
        <v/>
      </c>
      <c r="AA161" s="69" t="str">
        <f>IF(Table2[[#This Row],[avg gap]]&lt;&gt;"",IFERROR((MAX(starting_interval,IF(Table2[[#This Row],[gap4]]="NA",Table2[[#This Row],[avg gap]],Table2[[#This Row],[gap4]]))-starting_interval)*Table2[[#This Row],[followers4]]/Table2[[#This Row],[group size4]],""),"")</f>
        <v/>
      </c>
      <c r="AB161" s="32" t="str">
        <f>_xlfn.IFNA(VLOOKUP(Table2[[#This Row],[Name]],'Fall FD - players'!$A$2:$B$65,2,FALSE),"")</f>
        <v/>
      </c>
      <c r="AC161" s="59" t="str">
        <f>IF(Table2[[#This Row],[tee time5]]&lt;&gt;"",COUNTIF('Fall FD - players'!$B$2:$B$65,"="&amp;Table2[[#This Row],[tee time5]]),"")</f>
        <v/>
      </c>
      <c r="AD161" s="59" t="str">
        <f>_xlfn.IFNA(VLOOKUP(Table2[[#This Row],[tee time5]],'Fall FD - groups'!$A$3:$F$20,6,FALSE),"")</f>
        <v/>
      </c>
      <c r="AE161" s="4" t="str">
        <f>_xlfn.IFNA(VLOOKUP(Table2[[#This Row],[tee time5]],'Fall FD - groups'!$A$3:$F$20,4,FALSE),"")</f>
        <v/>
      </c>
      <c r="AF161" s="13" t="str">
        <f>IFERROR(MIN(_xlfn.IFNA(VLOOKUP(Table2[[#This Row],[tee time5]],'Fall FD - groups'!$A$3:$F$20,5,FALSE),""),starting_interval + Table2[[#This Row],[round5]] - standard_round_time),"")</f>
        <v/>
      </c>
      <c r="AG161" s="69" t="str">
        <f>IF(AND(Table2[[#This Row],[gap5]]="NA",Table2[[#This Row],[round5]]&lt;4/24),0,IFERROR((MAX(starting_interval,IF(Table2[[#This Row],[gap5]]="NA",Table2[[#This Row],[avg gap]],Table2[[#This Row],[gap5]]))-starting_interval)*Table2[[#This Row],[followers5]]/Table2[[#This Row],[group size5]],""))</f>
        <v/>
      </c>
      <c r="AH161" s="32" t="str">
        <f>_xlfn.IFNA(VLOOKUP(Table2[[#This Row],[Name]],'Stableford - players'!$A$2:$B$65,2,FALSE),"")</f>
        <v/>
      </c>
      <c r="AI161" s="59" t="str">
        <f>IF(Table2[[#This Row],[tee time6]]&lt;&gt;"",COUNTIF('Stableford - players'!$B$2:$B$65,"="&amp;Table2[[#This Row],[tee time6]]),"")</f>
        <v/>
      </c>
      <c r="AJ161" s="59" t="str">
        <f>_xlfn.IFNA(VLOOKUP(Table2[[#This Row],[tee time6]],'Stableford - groups'!$A$3:$F$20,6,FALSE),"")</f>
        <v/>
      </c>
      <c r="AK161" s="11" t="str">
        <f>_xlfn.IFNA(VLOOKUP(Table2[[#This Row],[tee time6]],'Stableford - groups'!$A$3:$F$20,4,FALSE),"")</f>
        <v/>
      </c>
      <c r="AL161" s="13" t="str">
        <f>_xlfn.IFNA(VLOOKUP(Table2[[#This Row],[tee time6]],'Stableford - groups'!$A$3:$F$20,5,FALSE),"")</f>
        <v/>
      </c>
      <c r="AM161" s="68" t="str">
        <f>IF(AND(Table2[[#This Row],[gap6]]="NA",Table2[[#This Row],[round6]]&lt;4/24),0,IFERROR((MAX(starting_interval,IF(Table2[[#This Row],[gap6]]="NA",Table2[[#This Row],[avg gap]],Table2[[#This Row],[gap6]]))-starting_interval)*Table2[[#This Row],[followers6]]/Table2[[#This Row],[group size6]],""))</f>
        <v/>
      </c>
      <c r="AN161" s="32" t="str">
        <f>_xlfn.IFNA(VLOOKUP(Table2[[#This Row],[Name]],'Turkey Shoot - players'!$A$2:$B$65,2,FALSE),"")</f>
        <v/>
      </c>
      <c r="AO161" s="59" t="str">
        <f>IF(Table2[[#This Row],[tee time7]]&lt;&gt;"",COUNTIF('Turkey Shoot - players'!$B$2:$B$65,"="&amp;Table2[[#This Row],[tee time7]]),"")</f>
        <v/>
      </c>
      <c r="AP161" s="59" t="str">
        <f>_xlfn.IFNA(VLOOKUP(Table2[[#This Row],[tee time7]],'Stableford - groups'!$A$3:$F$20,6,FALSE),"")</f>
        <v/>
      </c>
      <c r="AQ161" s="11" t="str">
        <f>_xlfn.IFNA(VLOOKUP(Table2[[#This Row],[tee time7]],'Turkey Shoot - groups'!$A$3:$F$20,4,FALSE),"")</f>
        <v/>
      </c>
      <c r="AR161" s="13" t="str">
        <f>_xlfn.IFNA(VLOOKUP(Table2[[#This Row],[tee time7]],'Turkey Shoot - groups'!$A$3:$F$20,5,FALSE),"")</f>
        <v/>
      </c>
      <c r="AS161" s="68" t="str">
        <f>IF(AND(Table2[[#This Row],[gap7]]="NA",Table2[[#This Row],[round7]]&lt;4/24),0,IFERROR((MAX(starting_interval,IF(Table2[[#This Row],[gap7]]="NA",Table2[[#This Row],[avg gap]],Table2[[#This Row],[gap7]]))-starting_interval)*Table2[[#This Row],[followers7]]/Table2[[#This Row],[group size7]],""))</f>
        <v/>
      </c>
      <c r="AT161" s="72">
        <f>COUNT(Table2[[#This Row],[Tee time1]],Table2[[#This Row],[tee time2]],Table2[[#This Row],[tee time3]],Table2[[#This Row],[tee time4]],Table2[[#This Row],[tee time5]],Table2[[#This Row],[tee time6]],Table2[[#This Row],[tee time7]])</f>
        <v>0</v>
      </c>
      <c r="AU161" s="4" t="str">
        <f>IFERROR(AVERAGE(Table2[[#This Row],[Tee time1]],Table2[[#This Row],[tee time2]],Table2[[#This Row],[tee time3]],Table2[[#This Row],[tee time4]],Table2[[#This Row],[tee time5]],Table2[[#This Row],[tee time6]],Table2[[#This Row],[tee time7]]),"")</f>
        <v/>
      </c>
      <c r="AV161" s="11" t="str">
        <f>IFERROR(MEDIAN(Table2[[#This Row],[round1]],Table2[[#This Row],[Round2]],Table2[[#This Row],[round3]],Table2[[#This Row],[round4]],Table2[[#This Row],[round5]],Table2[[#This Row],[round6]],Table2[[#This Row],[round7]]),"")</f>
        <v/>
      </c>
      <c r="AW161" s="11" t="str">
        <f>IFERROR(AVERAGE(Table2[[#This Row],[gap1]],Table2[[#This Row],[gap2]],Table2[[#This Row],[gap3]],Table2[[#This Row],[gap4]],Table2[[#This Row],[gap5]],Table2[[#This Row],[gap6]],Table2[[#This Row],[gap7]]),"")</f>
        <v/>
      </c>
      <c r="AX161" s="9" t="str">
        <f>IFERROR((Table2[[#This Row],[avg gap]]-starting_interval)*24*60*Table2[[#This Row],[Count]],"NA")</f>
        <v>NA</v>
      </c>
      <c r="AY161"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61" s="2"/>
    </row>
    <row r="162" spans="1:52" hidden="1" x14ac:dyDescent="0.3">
      <c r="A162" s="10" t="s">
        <v>64</v>
      </c>
      <c r="B162" s="1" t="s">
        <v>302</v>
      </c>
      <c r="C162" s="19">
        <v>11.7</v>
      </c>
      <c r="D162" s="32" t="str">
        <f>_xlfn.IFNA(VLOOKUP(Table2[[#This Row],[Name]],'Classic day 1 - players'!$A$2:$B$64,2,FALSE),"")</f>
        <v/>
      </c>
      <c r="E162" s="33" t="str">
        <f>IF(Table2[[#This Row],[Tee time1]]&lt;&gt;"",COUNTIF('Classic day 1 - players'!$B$2:$B$64,"="&amp;Table2[[#This Row],[Tee time1]]),"")</f>
        <v/>
      </c>
      <c r="F162" s="4" t="str">
        <f>_xlfn.IFNA(VLOOKUP(Table2[[#This Row],[Tee time1]],'Classic day 1 - groups'!$A$3:$F$20,6,FALSE),"")</f>
        <v/>
      </c>
      <c r="G162" s="11" t="str">
        <f>_xlfn.IFNA(VLOOKUP(Table2[[#This Row],[Tee time1]],'Classic day 1 - groups'!$A$3:$F$20,4,FALSE),"")</f>
        <v/>
      </c>
      <c r="H162" s="12" t="str">
        <f>_xlfn.IFNA(VLOOKUP(Table2[[#This Row],[Tee time1]],'Classic day 1 - groups'!$A$3:$F$20,5,FALSE),"")</f>
        <v/>
      </c>
      <c r="I162" s="69" t="str">
        <f>IFERROR((MAX(starting_interval,IF(Table2[[#This Row],[gap1]]="NA",Table2[[#This Row],[avg gap]],Table2[[#This Row],[gap1]]))-starting_interval)*Table2[[#This Row],[followers1]]/Table2[[#This Row],[group size]],"")</f>
        <v/>
      </c>
      <c r="J162" s="32" t="str">
        <f>_xlfn.IFNA(VLOOKUP(Table2[[#This Row],[Name]],'Classic day 2 - players'!$A$2:$B$64,2,FALSE),"")</f>
        <v/>
      </c>
      <c r="K162" s="4" t="str">
        <f>IF(Table2[[#This Row],[tee time2]]&lt;&gt;"",COUNTIF('Classic day 2 - players'!$B$2:$B$64,"="&amp;Table2[[#This Row],[tee time2]]),"")</f>
        <v/>
      </c>
      <c r="L162" s="4" t="str">
        <f>_xlfn.IFNA(VLOOKUP(Table2[[#This Row],[tee time2]],'Classic day 2 - groups'!$A$3:$F$20,6,FALSE),"")</f>
        <v/>
      </c>
      <c r="M162" s="4" t="str">
        <f>_xlfn.IFNA(VLOOKUP(Table2[[#This Row],[tee time2]],'Classic day 2 - groups'!$A$3:$F$20,4,FALSE),"")</f>
        <v/>
      </c>
      <c r="N162" s="65" t="str">
        <f>_xlfn.IFNA(VLOOKUP(Table2[[#This Row],[tee time2]],'Classic day 2 - groups'!$A$3:$F$20,5,FALSE),"")</f>
        <v/>
      </c>
      <c r="O162" s="69" t="str">
        <f>IFERROR((MAX(starting_interval,IF(Table2[[#This Row],[gap2]]="NA",Table2[[#This Row],[avg gap]],Table2[[#This Row],[gap2]]))-starting_interval)*Table2[[#This Row],[followers2]]/Table2[[#This Row],[group size2]],"")</f>
        <v/>
      </c>
      <c r="P162" s="32" t="str">
        <f>_xlfn.IFNA(VLOOKUP(Table2[[#This Row],[Name]],'Summer FD - players'!$A$2:$B$65,2,FALSE),"")</f>
        <v/>
      </c>
      <c r="Q162" s="59" t="str">
        <f>IF(Table2[[#This Row],[tee time3]]&lt;&gt;"",COUNTIF('Summer FD - players'!$B$2:$B$65,"="&amp;Table2[[#This Row],[tee time3]]),"")</f>
        <v/>
      </c>
      <c r="R162" s="59" t="str">
        <f>_xlfn.IFNA(VLOOKUP(Table2[[#This Row],[tee time3]],'Summer FD - groups'!$A$3:$F$20,6,FALSE),"")</f>
        <v/>
      </c>
      <c r="S162" s="4" t="str">
        <f>_xlfn.IFNA(VLOOKUP(Table2[[#This Row],[tee time3]],'Summer FD - groups'!$A$3:$F$20,4,FALSE),"")</f>
        <v/>
      </c>
      <c r="T162" s="13" t="str">
        <f>_xlfn.IFNA(VLOOKUP(Table2[[#This Row],[tee time3]],'Summer FD - groups'!$A$3:$F$20,5,FALSE),"")</f>
        <v/>
      </c>
      <c r="U162" s="69" t="str">
        <f>IF(Table2[[#This Row],[avg gap]]&lt;&gt;"",IFERROR((MAX(starting_interval,IF(Table2[[#This Row],[gap3]]="NA",Table2[[#This Row],[avg gap]],Table2[[#This Row],[gap3]]))-starting_interval)*Table2[[#This Row],[followers3]]/Table2[[#This Row],[group size3]],""),"")</f>
        <v/>
      </c>
      <c r="V162" s="32" t="str">
        <f>_xlfn.IFNA(VLOOKUP(Table2[[#This Row],[Name]],'6-6-6 - players'!$A$2:$B$69,2,FALSE),"")</f>
        <v/>
      </c>
      <c r="W162" s="59" t="str">
        <f>IF(Table2[[#This Row],[tee time4]]&lt;&gt;"",COUNTIF('6-6-6 - players'!$B$2:$B$69,"="&amp;Table2[[#This Row],[tee time4]]),"")</f>
        <v/>
      </c>
      <c r="X162" s="59" t="str">
        <f>_xlfn.IFNA(VLOOKUP(Table2[[#This Row],[tee time4]],'6-6-6 - groups'!$A$3:$F$20,6,FALSE),"")</f>
        <v/>
      </c>
      <c r="Y162" s="4" t="str">
        <f>_xlfn.IFNA(VLOOKUP(Table2[[#This Row],[tee time4]],'6-6-6 - groups'!$A$3:$F$20,4,FALSE),"")</f>
        <v/>
      </c>
      <c r="Z162" s="13" t="str">
        <f>_xlfn.IFNA(VLOOKUP(Table2[[#This Row],[tee time4]],'6-6-6 - groups'!$A$3:$F$20,5,FALSE),"")</f>
        <v/>
      </c>
      <c r="AA162" s="69" t="str">
        <f>IF(Table2[[#This Row],[avg gap]]&lt;&gt;"",IFERROR((MAX(starting_interval,IF(Table2[[#This Row],[gap4]]="NA",Table2[[#This Row],[avg gap]],Table2[[#This Row],[gap4]]))-starting_interval)*Table2[[#This Row],[followers4]]/Table2[[#This Row],[group size4]],""),"")</f>
        <v/>
      </c>
      <c r="AB162" s="32" t="str">
        <f>_xlfn.IFNA(VLOOKUP(Table2[[#This Row],[Name]],'Fall FD - players'!$A$2:$B$65,2,FALSE),"")</f>
        <v/>
      </c>
      <c r="AC162" s="59" t="str">
        <f>IF(Table2[[#This Row],[tee time5]]&lt;&gt;"",COUNTIF('Fall FD - players'!$B$2:$B$65,"="&amp;Table2[[#This Row],[tee time5]]),"")</f>
        <v/>
      </c>
      <c r="AD162" s="59" t="str">
        <f>_xlfn.IFNA(VLOOKUP(Table2[[#This Row],[tee time5]],'Fall FD - groups'!$A$3:$F$20,6,FALSE),"")</f>
        <v/>
      </c>
      <c r="AE162" s="4" t="str">
        <f>_xlfn.IFNA(VLOOKUP(Table2[[#This Row],[tee time5]],'Fall FD - groups'!$A$3:$F$20,4,FALSE),"")</f>
        <v/>
      </c>
      <c r="AF162" s="13" t="str">
        <f>IFERROR(MIN(_xlfn.IFNA(VLOOKUP(Table2[[#This Row],[tee time5]],'Fall FD - groups'!$A$3:$F$20,5,FALSE),""),starting_interval + Table2[[#This Row],[round5]] - standard_round_time),"")</f>
        <v/>
      </c>
      <c r="AG162" s="69" t="str">
        <f>IF(AND(Table2[[#This Row],[gap5]]="NA",Table2[[#This Row],[round5]]&lt;4/24),0,IFERROR((MAX(starting_interval,IF(Table2[[#This Row],[gap5]]="NA",Table2[[#This Row],[avg gap]],Table2[[#This Row],[gap5]]))-starting_interval)*Table2[[#This Row],[followers5]]/Table2[[#This Row],[group size5]],""))</f>
        <v/>
      </c>
      <c r="AH162" s="32" t="str">
        <f>_xlfn.IFNA(VLOOKUP(Table2[[#This Row],[Name]],'Stableford - players'!$A$2:$B$65,2,FALSE),"")</f>
        <v/>
      </c>
      <c r="AI162" s="59" t="str">
        <f>IF(Table2[[#This Row],[tee time6]]&lt;&gt;"",COUNTIF('Stableford - players'!$B$2:$B$65,"="&amp;Table2[[#This Row],[tee time6]]),"")</f>
        <v/>
      </c>
      <c r="AJ162" s="59" t="str">
        <f>_xlfn.IFNA(VLOOKUP(Table2[[#This Row],[tee time6]],'Stableford - groups'!$A$3:$F$20,6,FALSE),"")</f>
        <v/>
      </c>
      <c r="AK162" s="11" t="str">
        <f>_xlfn.IFNA(VLOOKUP(Table2[[#This Row],[tee time6]],'Stableford - groups'!$A$3:$F$20,4,FALSE),"")</f>
        <v/>
      </c>
      <c r="AL162" s="13" t="str">
        <f>_xlfn.IFNA(VLOOKUP(Table2[[#This Row],[tee time6]],'Stableford - groups'!$A$3:$F$20,5,FALSE),"")</f>
        <v/>
      </c>
      <c r="AM162" s="68" t="str">
        <f>IF(AND(Table2[[#This Row],[gap6]]="NA",Table2[[#This Row],[round6]]&lt;4/24),0,IFERROR((MAX(starting_interval,IF(Table2[[#This Row],[gap6]]="NA",Table2[[#This Row],[avg gap]],Table2[[#This Row],[gap6]]))-starting_interval)*Table2[[#This Row],[followers6]]/Table2[[#This Row],[group size6]],""))</f>
        <v/>
      </c>
      <c r="AN162" s="32" t="str">
        <f>_xlfn.IFNA(VLOOKUP(Table2[[#This Row],[Name]],'Turkey Shoot - players'!$A$2:$B$65,2,FALSE),"")</f>
        <v/>
      </c>
      <c r="AO162" s="59" t="str">
        <f>IF(Table2[[#This Row],[tee time7]]&lt;&gt;"",COUNTIF('Turkey Shoot - players'!$B$2:$B$65,"="&amp;Table2[[#This Row],[tee time7]]),"")</f>
        <v/>
      </c>
      <c r="AP162" s="59" t="str">
        <f>_xlfn.IFNA(VLOOKUP(Table2[[#This Row],[tee time7]],'Stableford - groups'!$A$3:$F$20,6,FALSE),"")</f>
        <v/>
      </c>
      <c r="AQ162" s="11" t="str">
        <f>_xlfn.IFNA(VLOOKUP(Table2[[#This Row],[tee time7]],'Turkey Shoot - groups'!$A$3:$F$20,4,FALSE),"")</f>
        <v/>
      </c>
      <c r="AR162" s="13" t="str">
        <f>_xlfn.IFNA(VLOOKUP(Table2[[#This Row],[tee time7]],'Turkey Shoot - groups'!$A$3:$F$20,5,FALSE),"")</f>
        <v/>
      </c>
      <c r="AS162" s="68" t="str">
        <f>IF(AND(Table2[[#This Row],[gap7]]="NA",Table2[[#This Row],[round7]]&lt;4/24),0,IFERROR((MAX(starting_interval,IF(Table2[[#This Row],[gap7]]="NA",Table2[[#This Row],[avg gap]],Table2[[#This Row],[gap7]]))-starting_interval)*Table2[[#This Row],[followers7]]/Table2[[#This Row],[group size7]],""))</f>
        <v/>
      </c>
      <c r="AT162" s="72">
        <f>COUNT(Table2[[#This Row],[Tee time1]],Table2[[#This Row],[tee time2]],Table2[[#This Row],[tee time3]],Table2[[#This Row],[tee time4]],Table2[[#This Row],[tee time5]],Table2[[#This Row],[tee time6]],Table2[[#This Row],[tee time7]])</f>
        <v>0</v>
      </c>
      <c r="AU162" s="4" t="str">
        <f>IFERROR(AVERAGE(Table2[[#This Row],[Tee time1]],Table2[[#This Row],[tee time2]],Table2[[#This Row],[tee time3]],Table2[[#This Row],[tee time4]],Table2[[#This Row],[tee time5]],Table2[[#This Row],[tee time6]],Table2[[#This Row],[tee time7]]),"")</f>
        <v/>
      </c>
      <c r="AV162" s="11" t="str">
        <f>IFERROR(MEDIAN(Table2[[#This Row],[round1]],Table2[[#This Row],[Round2]],Table2[[#This Row],[round3]],Table2[[#This Row],[round4]],Table2[[#This Row],[round5]],Table2[[#This Row],[round6]],Table2[[#This Row],[round7]]),"")</f>
        <v/>
      </c>
      <c r="AW162" s="11" t="str">
        <f>IFERROR(AVERAGE(Table2[[#This Row],[gap1]],Table2[[#This Row],[gap2]],Table2[[#This Row],[gap3]],Table2[[#This Row],[gap4]],Table2[[#This Row],[gap5]],Table2[[#This Row],[gap6]],Table2[[#This Row],[gap7]]),"")</f>
        <v/>
      </c>
      <c r="AX162" s="9" t="str">
        <f>IFERROR((Table2[[#This Row],[avg gap]]-starting_interval)*24*60*Table2[[#This Row],[Count]],"NA")</f>
        <v>NA</v>
      </c>
      <c r="AY162"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62" s="2"/>
    </row>
    <row r="163" spans="1:52" hidden="1" x14ac:dyDescent="0.3">
      <c r="A163" s="10" t="s">
        <v>66</v>
      </c>
      <c r="B163" s="1" t="s">
        <v>304</v>
      </c>
      <c r="C163" s="19">
        <v>20.2</v>
      </c>
      <c r="D163" s="32" t="str">
        <f>_xlfn.IFNA(VLOOKUP(Table2[[#This Row],[Name]],'Classic day 1 - players'!$A$2:$B$64,2,FALSE),"")</f>
        <v/>
      </c>
      <c r="E163" s="33" t="str">
        <f>IF(Table2[[#This Row],[Tee time1]]&lt;&gt;"",COUNTIF('Classic day 1 - players'!$B$2:$B$64,"="&amp;Table2[[#This Row],[Tee time1]]),"")</f>
        <v/>
      </c>
      <c r="F163" s="4" t="str">
        <f>_xlfn.IFNA(VLOOKUP(Table2[[#This Row],[Tee time1]],'Classic day 1 - groups'!$A$3:$F$20,6,FALSE),"")</f>
        <v/>
      </c>
      <c r="G163" s="11" t="str">
        <f>_xlfn.IFNA(VLOOKUP(Table2[[#This Row],[Tee time1]],'Classic day 1 - groups'!$A$3:$F$20,4,FALSE),"")</f>
        <v/>
      </c>
      <c r="H163" s="12" t="str">
        <f>_xlfn.IFNA(VLOOKUP(Table2[[#This Row],[Tee time1]],'Classic day 1 - groups'!$A$3:$F$20,5,FALSE),"")</f>
        <v/>
      </c>
      <c r="I163" s="69" t="str">
        <f>IFERROR((MAX(starting_interval,IF(Table2[[#This Row],[gap1]]="NA",Table2[[#This Row],[avg gap]],Table2[[#This Row],[gap1]]))-starting_interval)*Table2[[#This Row],[followers1]]/Table2[[#This Row],[group size]],"")</f>
        <v/>
      </c>
      <c r="J163" s="32" t="str">
        <f>_xlfn.IFNA(VLOOKUP(Table2[[#This Row],[Name]],'Classic day 2 - players'!$A$2:$B$64,2,FALSE),"")</f>
        <v/>
      </c>
      <c r="K163" s="4" t="str">
        <f>IF(Table2[[#This Row],[tee time2]]&lt;&gt;"",COUNTIF('Classic day 2 - players'!$B$2:$B$64,"="&amp;Table2[[#This Row],[tee time2]]),"")</f>
        <v/>
      </c>
      <c r="L163" s="4" t="str">
        <f>_xlfn.IFNA(VLOOKUP(Table2[[#This Row],[tee time2]],'Classic day 2 - groups'!$A$3:$F$20,6,FALSE),"")</f>
        <v/>
      </c>
      <c r="M163" s="4" t="str">
        <f>_xlfn.IFNA(VLOOKUP(Table2[[#This Row],[tee time2]],'Classic day 2 - groups'!$A$3:$F$20,4,FALSE),"")</f>
        <v/>
      </c>
      <c r="N163" s="65" t="str">
        <f>_xlfn.IFNA(VLOOKUP(Table2[[#This Row],[tee time2]],'Classic day 2 - groups'!$A$3:$F$20,5,FALSE),"")</f>
        <v/>
      </c>
      <c r="O163" s="69" t="str">
        <f>IFERROR((MAX(starting_interval,IF(Table2[[#This Row],[gap2]]="NA",Table2[[#This Row],[avg gap]],Table2[[#This Row],[gap2]]))-starting_interval)*Table2[[#This Row],[followers2]]/Table2[[#This Row],[group size2]],"")</f>
        <v/>
      </c>
      <c r="P163" s="32" t="str">
        <f>_xlfn.IFNA(VLOOKUP(Table2[[#This Row],[Name]],'Summer FD - players'!$A$2:$B$65,2,FALSE),"")</f>
        <v/>
      </c>
      <c r="Q163" s="59" t="str">
        <f>IF(Table2[[#This Row],[tee time3]]&lt;&gt;"",COUNTIF('Summer FD - players'!$B$2:$B$65,"="&amp;Table2[[#This Row],[tee time3]]),"")</f>
        <v/>
      </c>
      <c r="R163" s="59" t="str">
        <f>_xlfn.IFNA(VLOOKUP(Table2[[#This Row],[tee time3]],'Summer FD - groups'!$A$3:$F$20,6,FALSE),"")</f>
        <v/>
      </c>
      <c r="S163" s="4" t="str">
        <f>_xlfn.IFNA(VLOOKUP(Table2[[#This Row],[tee time3]],'Summer FD - groups'!$A$3:$F$20,4,FALSE),"")</f>
        <v/>
      </c>
      <c r="T163" s="13" t="str">
        <f>_xlfn.IFNA(VLOOKUP(Table2[[#This Row],[tee time3]],'Summer FD - groups'!$A$3:$F$20,5,FALSE),"")</f>
        <v/>
      </c>
      <c r="U163" s="69" t="str">
        <f>IF(Table2[[#This Row],[avg gap]]&lt;&gt;"",IFERROR((MAX(starting_interval,IF(Table2[[#This Row],[gap3]]="NA",Table2[[#This Row],[avg gap]],Table2[[#This Row],[gap3]]))-starting_interval)*Table2[[#This Row],[followers3]]/Table2[[#This Row],[group size3]],""),"")</f>
        <v/>
      </c>
      <c r="V163" s="32" t="str">
        <f>_xlfn.IFNA(VLOOKUP(Table2[[#This Row],[Name]],'6-6-6 - players'!$A$2:$B$69,2,FALSE),"")</f>
        <v/>
      </c>
      <c r="W163" s="59" t="str">
        <f>IF(Table2[[#This Row],[tee time4]]&lt;&gt;"",COUNTIF('6-6-6 - players'!$B$2:$B$69,"="&amp;Table2[[#This Row],[tee time4]]),"")</f>
        <v/>
      </c>
      <c r="X163" s="59" t="str">
        <f>_xlfn.IFNA(VLOOKUP(Table2[[#This Row],[tee time4]],'6-6-6 - groups'!$A$3:$F$20,6,FALSE),"")</f>
        <v/>
      </c>
      <c r="Y163" s="4" t="str">
        <f>_xlfn.IFNA(VLOOKUP(Table2[[#This Row],[tee time4]],'6-6-6 - groups'!$A$3:$F$20,4,FALSE),"")</f>
        <v/>
      </c>
      <c r="Z163" s="13" t="str">
        <f>_xlfn.IFNA(VLOOKUP(Table2[[#This Row],[tee time4]],'6-6-6 - groups'!$A$3:$F$20,5,FALSE),"")</f>
        <v/>
      </c>
      <c r="AA163" s="69" t="str">
        <f>IF(Table2[[#This Row],[avg gap]]&lt;&gt;"",IFERROR((MAX(starting_interval,IF(Table2[[#This Row],[gap4]]="NA",Table2[[#This Row],[avg gap]],Table2[[#This Row],[gap4]]))-starting_interval)*Table2[[#This Row],[followers4]]/Table2[[#This Row],[group size4]],""),"")</f>
        <v/>
      </c>
      <c r="AB163" s="32" t="str">
        <f>_xlfn.IFNA(VLOOKUP(Table2[[#This Row],[Name]],'Fall FD - players'!$A$2:$B$65,2,FALSE),"")</f>
        <v/>
      </c>
      <c r="AC163" s="59" t="str">
        <f>IF(Table2[[#This Row],[tee time5]]&lt;&gt;"",COUNTIF('Fall FD - players'!$B$2:$B$65,"="&amp;Table2[[#This Row],[tee time5]]),"")</f>
        <v/>
      </c>
      <c r="AD163" s="59" t="str">
        <f>_xlfn.IFNA(VLOOKUP(Table2[[#This Row],[tee time5]],'Fall FD - groups'!$A$3:$F$20,6,FALSE),"")</f>
        <v/>
      </c>
      <c r="AE163" s="4" t="str">
        <f>_xlfn.IFNA(VLOOKUP(Table2[[#This Row],[tee time5]],'Fall FD - groups'!$A$3:$F$20,4,FALSE),"")</f>
        <v/>
      </c>
      <c r="AF163" s="13" t="str">
        <f>IFERROR(MIN(_xlfn.IFNA(VLOOKUP(Table2[[#This Row],[tee time5]],'Fall FD - groups'!$A$3:$F$20,5,FALSE),""),starting_interval + Table2[[#This Row],[round5]] - standard_round_time),"")</f>
        <v/>
      </c>
      <c r="AG163" s="69" t="str">
        <f>IF(AND(Table2[[#This Row],[gap5]]="NA",Table2[[#This Row],[round5]]&lt;4/24),0,IFERROR((MAX(starting_interval,IF(Table2[[#This Row],[gap5]]="NA",Table2[[#This Row],[avg gap]],Table2[[#This Row],[gap5]]))-starting_interval)*Table2[[#This Row],[followers5]]/Table2[[#This Row],[group size5]],""))</f>
        <v/>
      </c>
      <c r="AH163" s="32" t="str">
        <f>_xlfn.IFNA(VLOOKUP(Table2[[#This Row],[Name]],'Stableford - players'!$A$2:$B$65,2,FALSE),"")</f>
        <v/>
      </c>
      <c r="AI163" s="59" t="str">
        <f>IF(Table2[[#This Row],[tee time6]]&lt;&gt;"",COUNTIF('Stableford - players'!$B$2:$B$65,"="&amp;Table2[[#This Row],[tee time6]]),"")</f>
        <v/>
      </c>
      <c r="AJ163" s="59" t="str">
        <f>_xlfn.IFNA(VLOOKUP(Table2[[#This Row],[tee time6]],'Stableford - groups'!$A$3:$F$20,6,FALSE),"")</f>
        <v/>
      </c>
      <c r="AK163" s="11" t="str">
        <f>_xlfn.IFNA(VLOOKUP(Table2[[#This Row],[tee time6]],'Stableford - groups'!$A$3:$F$20,4,FALSE),"")</f>
        <v/>
      </c>
      <c r="AL163" s="13" t="str">
        <f>_xlfn.IFNA(VLOOKUP(Table2[[#This Row],[tee time6]],'Stableford - groups'!$A$3:$F$20,5,FALSE),"")</f>
        <v/>
      </c>
      <c r="AM163" s="68" t="str">
        <f>IF(AND(Table2[[#This Row],[gap6]]="NA",Table2[[#This Row],[round6]]&lt;4/24),0,IFERROR((MAX(starting_interval,IF(Table2[[#This Row],[gap6]]="NA",Table2[[#This Row],[avg gap]],Table2[[#This Row],[gap6]]))-starting_interval)*Table2[[#This Row],[followers6]]/Table2[[#This Row],[group size6]],""))</f>
        <v/>
      </c>
      <c r="AN163" s="32" t="str">
        <f>_xlfn.IFNA(VLOOKUP(Table2[[#This Row],[Name]],'Turkey Shoot - players'!$A$2:$B$65,2,FALSE),"")</f>
        <v/>
      </c>
      <c r="AO163" s="59" t="str">
        <f>IF(Table2[[#This Row],[tee time7]]&lt;&gt;"",COUNTIF('Turkey Shoot - players'!$B$2:$B$65,"="&amp;Table2[[#This Row],[tee time7]]),"")</f>
        <v/>
      </c>
      <c r="AP163" s="59" t="str">
        <f>_xlfn.IFNA(VLOOKUP(Table2[[#This Row],[tee time7]],'Stableford - groups'!$A$3:$F$20,6,FALSE),"")</f>
        <v/>
      </c>
      <c r="AQ163" s="11" t="str">
        <f>_xlfn.IFNA(VLOOKUP(Table2[[#This Row],[tee time7]],'Turkey Shoot - groups'!$A$3:$F$20,4,FALSE),"")</f>
        <v/>
      </c>
      <c r="AR163" s="13" t="str">
        <f>_xlfn.IFNA(VLOOKUP(Table2[[#This Row],[tee time7]],'Turkey Shoot - groups'!$A$3:$F$20,5,FALSE),"")</f>
        <v/>
      </c>
      <c r="AS163" s="68" t="str">
        <f>IF(AND(Table2[[#This Row],[gap7]]="NA",Table2[[#This Row],[round7]]&lt;4/24),0,IFERROR((MAX(starting_interval,IF(Table2[[#This Row],[gap7]]="NA",Table2[[#This Row],[avg gap]],Table2[[#This Row],[gap7]]))-starting_interval)*Table2[[#This Row],[followers7]]/Table2[[#This Row],[group size7]],""))</f>
        <v/>
      </c>
      <c r="AT163" s="72">
        <f>COUNT(Table2[[#This Row],[Tee time1]],Table2[[#This Row],[tee time2]],Table2[[#This Row],[tee time3]],Table2[[#This Row],[tee time4]],Table2[[#This Row],[tee time5]],Table2[[#This Row],[tee time6]],Table2[[#This Row],[tee time7]])</f>
        <v>0</v>
      </c>
      <c r="AU163" s="4" t="str">
        <f>IFERROR(AVERAGE(Table2[[#This Row],[Tee time1]],Table2[[#This Row],[tee time2]],Table2[[#This Row],[tee time3]],Table2[[#This Row],[tee time4]],Table2[[#This Row],[tee time5]],Table2[[#This Row],[tee time6]],Table2[[#This Row],[tee time7]]),"")</f>
        <v/>
      </c>
      <c r="AV163" s="11" t="str">
        <f>IFERROR(MEDIAN(Table2[[#This Row],[round1]],Table2[[#This Row],[Round2]],Table2[[#This Row],[round3]],Table2[[#This Row],[round4]],Table2[[#This Row],[round5]],Table2[[#This Row],[round6]],Table2[[#This Row],[round7]]),"")</f>
        <v/>
      </c>
      <c r="AW163" s="11" t="str">
        <f>IFERROR(AVERAGE(Table2[[#This Row],[gap1]],Table2[[#This Row],[gap2]],Table2[[#This Row],[gap3]],Table2[[#This Row],[gap4]],Table2[[#This Row],[gap5]],Table2[[#This Row],[gap6]],Table2[[#This Row],[gap7]]),"")</f>
        <v/>
      </c>
      <c r="AX163" s="9" t="str">
        <f>IFERROR((Table2[[#This Row],[avg gap]]-starting_interval)*24*60*Table2[[#This Row],[Count]],"NA")</f>
        <v>NA</v>
      </c>
      <c r="AY163"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63" s="2"/>
    </row>
    <row r="164" spans="1:52" hidden="1" x14ac:dyDescent="0.3">
      <c r="A164" s="10" t="s">
        <v>68</v>
      </c>
      <c r="B164" s="1" t="s">
        <v>306</v>
      </c>
      <c r="C164" s="19" t="s">
        <v>307</v>
      </c>
      <c r="D164" s="32" t="str">
        <f>_xlfn.IFNA(VLOOKUP(Table2[[#This Row],[Name]],'Classic day 1 - players'!$A$2:$B$64,2,FALSE),"")</f>
        <v/>
      </c>
      <c r="E164" s="33" t="str">
        <f>IF(Table2[[#This Row],[Tee time1]]&lt;&gt;"",COUNTIF('Classic day 1 - players'!$B$2:$B$64,"="&amp;Table2[[#This Row],[Tee time1]]),"")</f>
        <v/>
      </c>
      <c r="F164" s="4" t="str">
        <f>_xlfn.IFNA(VLOOKUP(Table2[[#This Row],[Tee time1]],'Classic day 1 - groups'!$A$3:$F$20,6,FALSE),"")</f>
        <v/>
      </c>
      <c r="G164" s="11" t="str">
        <f>_xlfn.IFNA(VLOOKUP(Table2[[#This Row],[Tee time1]],'Classic day 1 - groups'!$A$3:$F$20,4,FALSE),"")</f>
        <v/>
      </c>
      <c r="H164" s="12" t="str">
        <f>_xlfn.IFNA(VLOOKUP(Table2[[#This Row],[Tee time1]],'Classic day 1 - groups'!$A$3:$F$20,5,FALSE),"")</f>
        <v/>
      </c>
      <c r="I164" s="69" t="str">
        <f>IFERROR((MAX(starting_interval,IF(Table2[[#This Row],[gap1]]="NA",Table2[[#This Row],[avg gap]],Table2[[#This Row],[gap1]]))-starting_interval)*Table2[[#This Row],[followers1]]/Table2[[#This Row],[group size]],"")</f>
        <v/>
      </c>
      <c r="J164" s="32" t="str">
        <f>_xlfn.IFNA(VLOOKUP(Table2[[#This Row],[Name]],'Classic day 2 - players'!$A$2:$B$64,2,FALSE),"")</f>
        <v/>
      </c>
      <c r="K164" s="4" t="str">
        <f>IF(Table2[[#This Row],[tee time2]]&lt;&gt;"",COUNTIF('Classic day 2 - players'!$B$2:$B$64,"="&amp;Table2[[#This Row],[tee time2]]),"")</f>
        <v/>
      </c>
      <c r="L164" s="4" t="str">
        <f>_xlfn.IFNA(VLOOKUP(Table2[[#This Row],[tee time2]],'Classic day 2 - groups'!$A$3:$F$20,6,FALSE),"")</f>
        <v/>
      </c>
      <c r="M164" s="4" t="str">
        <f>_xlfn.IFNA(VLOOKUP(Table2[[#This Row],[tee time2]],'Classic day 2 - groups'!$A$3:$F$20,4,FALSE),"")</f>
        <v/>
      </c>
      <c r="N164" s="65" t="str">
        <f>_xlfn.IFNA(VLOOKUP(Table2[[#This Row],[tee time2]],'Classic day 2 - groups'!$A$3:$F$20,5,FALSE),"")</f>
        <v/>
      </c>
      <c r="O164" s="69" t="str">
        <f>IFERROR((MAX(starting_interval,IF(Table2[[#This Row],[gap2]]="NA",Table2[[#This Row],[avg gap]],Table2[[#This Row],[gap2]]))-starting_interval)*Table2[[#This Row],[followers2]]/Table2[[#This Row],[group size2]],"")</f>
        <v/>
      </c>
      <c r="P164" s="32" t="str">
        <f>_xlfn.IFNA(VLOOKUP(Table2[[#This Row],[Name]],'Summer FD - players'!$A$2:$B$65,2,FALSE),"")</f>
        <v/>
      </c>
      <c r="Q164" s="59" t="str">
        <f>IF(Table2[[#This Row],[tee time3]]&lt;&gt;"",COUNTIF('Summer FD - players'!$B$2:$B$65,"="&amp;Table2[[#This Row],[tee time3]]),"")</f>
        <v/>
      </c>
      <c r="R164" s="59" t="str">
        <f>_xlfn.IFNA(VLOOKUP(Table2[[#This Row],[tee time3]],'Summer FD - groups'!$A$3:$F$20,6,FALSE),"")</f>
        <v/>
      </c>
      <c r="S164" s="4" t="str">
        <f>_xlfn.IFNA(VLOOKUP(Table2[[#This Row],[tee time3]],'Summer FD - groups'!$A$3:$F$20,4,FALSE),"")</f>
        <v/>
      </c>
      <c r="T164" s="13" t="str">
        <f>_xlfn.IFNA(VLOOKUP(Table2[[#This Row],[tee time3]],'Summer FD - groups'!$A$3:$F$20,5,FALSE),"")</f>
        <v/>
      </c>
      <c r="U164" s="69" t="str">
        <f>IF(Table2[[#This Row],[avg gap]]&lt;&gt;"",IFERROR((MAX(starting_interval,IF(Table2[[#This Row],[gap3]]="NA",Table2[[#This Row],[avg gap]],Table2[[#This Row],[gap3]]))-starting_interval)*Table2[[#This Row],[followers3]]/Table2[[#This Row],[group size3]],""),"")</f>
        <v/>
      </c>
      <c r="V164" s="32" t="str">
        <f>_xlfn.IFNA(VLOOKUP(Table2[[#This Row],[Name]],'6-6-6 - players'!$A$2:$B$69,2,FALSE),"")</f>
        <v/>
      </c>
      <c r="W164" s="59" t="str">
        <f>IF(Table2[[#This Row],[tee time4]]&lt;&gt;"",COUNTIF('6-6-6 - players'!$B$2:$B$69,"="&amp;Table2[[#This Row],[tee time4]]),"")</f>
        <v/>
      </c>
      <c r="X164" s="59" t="str">
        <f>_xlfn.IFNA(VLOOKUP(Table2[[#This Row],[tee time4]],'6-6-6 - groups'!$A$3:$F$20,6,FALSE),"")</f>
        <v/>
      </c>
      <c r="Y164" s="4" t="str">
        <f>_xlfn.IFNA(VLOOKUP(Table2[[#This Row],[tee time4]],'6-6-6 - groups'!$A$3:$F$20,4,FALSE),"")</f>
        <v/>
      </c>
      <c r="Z164" s="13" t="str">
        <f>_xlfn.IFNA(VLOOKUP(Table2[[#This Row],[tee time4]],'6-6-6 - groups'!$A$3:$F$20,5,FALSE),"")</f>
        <v/>
      </c>
      <c r="AA164" s="69" t="str">
        <f>IF(Table2[[#This Row],[avg gap]]&lt;&gt;"",IFERROR((MAX(starting_interval,IF(Table2[[#This Row],[gap4]]="NA",Table2[[#This Row],[avg gap]],Table2[[#This Row],[gap4]]))-starting_interval)*Table2[[#This Row],[followers4]]/Table2[[#This Row],[group size4]],""),"")</f>
        <v/>
      </c>
      <c r="AB164" s="32" t="str">
        <f>_xlfn.IFNA(VLOOKUP(Table2[[#This Row],[Name]],'Fall FD - players'!$A$2:$B$65,2,FALSE),"")</f>
        <v/>
      </c>
      <c r="AC164" s="59" t="str">
        <f>IF(Table2[[#This Row],[tee time5]]&lt;&gt;"",COUNTIF('Fall FD - players'!$B$2:$B$65,"="&amp;Table2[[#This Row],[tee time5]]),"")</f>
        <v/>
      </c>
      <c r="AD164" s="59" t="str">
        <f>_xlfn.IFNA(VLOOKUP(Table2[[#This Row],[tee time5]],'Fall FD - groups'!$A$3:$F$20,6,FALSE),"")</f>
        <v/>
      </c>
      <c r="AE164" s="4" t="str">
        <f>_xlfn.IFNA(VLOOKUP(Table2[[#This Row],[tee time5]],'Fall FD - groups'!$A$3:$F$20,4,FALSE),"")</f>
        <v/>
      </c>
      <c r="AF164" s="13" t="str">
        <f>IFERROR(MIN(_xlfn.IFNA(VLOOKUP(Table2[[#This Row],[tee time5]],'Fall FD - groups'!$A$3:$F$20,5,FALSE),""),starting_interval + Table2[[#This Row],[round5]] - standard_round_time),"")</f>
        <v/>
      </c>
      <c r="AG164" s="69" t="str">
        <f>IF(AND(Table2[[#This Row],[gap5]]="NA",Table2[[#This Row],[round5]]&lt;4/24),0,IFERROR((MAX(starting_interval,IF(Table2[[#This Row],[gap5]]="NA",Table2[[#This Row],[avg gap]],Table2[[#This Row],[gap5]]))-starting_interval)*Table2[[#This Row],[followers5]]/Table2[[#This Row],[group size5]],""))</f>
        <v/>
      </c>
      <c r="AH164" s="32" t="str">
        <f>_xlfn.IFNA(VLOOKUP(Table2[[#This Row],[Name]],'Stableford - players'!$A$2:$B$65,2,FALSE),"")</f>
        <v/>
      </c>
      <c r="AI164" s="59" t="str">
        <f>IF(Table2[[#This Row],[tee time6]]&lt;&gt;"",COUNTIF('Stableford - players'!$B$2:$B$65,"="&amp;Table2[[#This Row],[tee time6]]),"")</f>
        <v/>
      </c>
      <c r="AJ164" s="59" t="str">
        <f>_xlfn.IFNA(VLOOKUP(Table2[[#This Row],[tee time6]],'Stableford - groups'!$A$3:$F$20,6,FALSE),"")</f>
        <v/>
      </c>
      <c r="AK164" s="11" t="str">
        <f>_xlfn.IFNA(VLOOKUP(Table2[[#This Row],[tee time6]],'Stableford - groups'!$A$3:$F$20,4,FALSE),"")</f>
        <v/>
      </c>
      <c r="AL164" s="13" t="str">
        <f>_xlfn.IFNA(VLOOKUP(Table2[[#This Row],[tee time6]],'Stableford - groups'!$A$3:$F$20,5,FALSE),"")</f>
        <v/>
      </c>
      <c r="AM164" s="68" t="str">
        <f>IF(AND(Table2[[#This Row],[gap6]]="NA",Table2[[#This Row],[round6]]&lt;4/24),0,IFERROR((MAX(starting_interval,IF(Table2[[#This Row],[gap6]]="NA",Table2[[#This Row],[avg gap]],Table2[[#This Row],[gap6]]))-starting_interval)*Table2[[#This Row],[followers6]]/Table2[[#This Row],[group size6]],""))</f>
        <v/>
      </c>
      <c r="AN164" s="32" t="str">
        <f>_xlfn.IFNA(VLOOKUP(Table2[[#This Row],[Name]],'Turkey Shoot - players'!$A$2:$B$65,2,FALSE),"")</f>
        <v/>
      </c>
      <c r="AO164" s="59" t="str">
        <f>IF(Table2[[#This Row],[tee time7]]&lt;&gt;"",COUNTIF('Turkey Shoot - players'!$B$2:$B$65,"="&amp;Table2[[#This Row],[tee time7]]),"")</f>
        <v/>
      </c>
      <c r="AP164" s="59" t="str">
        <f>_xlfn.IFNA(VLOOKUP(Table2[[#This Row],[tee time7]],'Stableford - groups'!$A$3:$F$20,6,FALSE),"")</f>
        <v/>
      </c>
      <c r="AQ164" s="11" t="str">
        <f>_xlfn.IFNA(VLOOKUP(Table2[[#This Row],[tee time7]],'Turkey Shoot - groups'!$A$3:$F$20,4,FALSE),"")</f>
        <v/>
      </c>
      <c r="AR164" s="13" t="str">
        <f>_xlfn.IFNA(VLOOKUP(Table2[[#This Row],[tee time7]],'Turkey Shoot - groups'!$A$3:$F$20,5,FALSE),"")</f>
        <v/>
      </c>
      <c r="AS164" s="68" t="str">
        <f>IF(AND(Table2[[#This Row],[gap7]]="NA",Table2[[#This Row],[round7]]&lt;4/24),0,IFERROR((MAX(starting_interval,IF(Table2[[#This Row],[gap7]]="NA",Table2[[#This Row],[avg gap]],Table2[[#This Row],[gap7]]))-starting_interval)*Table2[[#This Row],[followers7]]/Table2[[#This Row],[group size7]],""))</f>
        <v/>
      </c>
      <c r="AT164" s="72">
        <f>COUNT(Table2[[#This Row],[Tee time1]],Table2[[#This Row],[tee time2]],Table2[[#This Row],[tee time3]],Table2[[#This Row],[tee time4]],Table2[[#This Row],[tee time5]],Table2[[#This Row],[tee time6]],Table2[[#This Row],[tee time7]])</f>
        <v>0</v>
      </c>
      <c r="AU164" s="4" t="str">
        <f>IFERROR(AVERAGE(Table2[[#This Row],[Tee time1]],Table2[[#This Row],[tee time2]],Table2[[#This Row],[tee time3]],Table2[[#This Row],[tee time4]],Table2[[#This Row],[tee time5]],Table2[[#This Row],[tee time6]],Table2[[#This Row],[tee time7]]),"")</f>
        <v/>
      </c>
      <c r="AV164" s="11" t="str">
        <f>IFERROR(MEDIAN(Table2[[#This Row],[round1]],Table2[[#This Row],[Round2]],Table2[[#This Row],[round3]],Table2[[#This Row],[round4]],Table2[[#This Row],[round5]],Table2[[#This Row],[round6]],Table2[[#This Row],[round7]]),"")</f>
        <v/>
      </c>
      <c r="AW164" s="11" t="str">
        <f>IFERROR(AVERAGE(Table2[[#This Row],[gap1]],Table2[[#This Row],[gap2]],Table2[[#This Row],[gap3]],Table2[[#This Row],[gap4]],Table2[[#This Row],[gap5]],Table2[[#This Row],[gap6]],Table2[[#This Row],[gap7]]),"")</f>
        <v/>
      </c>
      <c r="AX164" s="9" t="str">
        <f>IFERROR((Table2[[#This Row],[avg gap]]-starting_interval)*24*60*Table2[[#This Row],[Count]],"NA")</f>
        <v>NA</v>
      </c>
      <c r="AY164"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64" s="2"/>
    </row>
    <row r="165" spans="1:52" hidden="1" x14ac:dyDescent="0.3">
      <c r="A165" s="10" t="s">
        <v>70</v>
      </c>
      <c r="B165" s="1" t="s">
        <v>309</v>
      </c>
      <c r="C165" s="19">
        <v>26.1</v>
      </c>
      <c r="D165" s="32" t="str">
        <f>_xlfn.IFNA(VLOOKUP(Table2[[#This Row],[Name]],'Classic day 1 - players'!$A$2:$B$64,2,FALSE),"")</f>
        <v/>
      </c>
      <c r="E165" s="33" t="str">
        <f>IF(Table2[[#This Row],[Tee time1]]&lt;&gt;"",COUNTIF('Classic day 1 - players'!$B$2:$B$64,"="&amp;Table2[[#This Row],[Tee time1]]),"")</f>
        <v/>
      </c>
      <c r="F165" s="4" t="str">
        <f>_xlfn.IFNA(VLOOKUP(Table2[[#This Row],[Tee time1]],'Classic day 1 - groups'!$A$3:$F$20,6,FALSE),"")</f>
        <v/>
      </c>
      <c r="G165" s="11" t="str">
        <f>_xlfn.IFNA(VLOOKUP(Table2[[#This Row],[Tee time1]],'Classic day 1 - groups'!$A$3:$F$20,4,FALSE),"")</f>
        <v/>
      </c>
      <c r="H165" s="12" t="str">
        <f>_xlfn.IFNA(VLOOKUP(Table2[[#This Row],[Tee time1]],'Classic day 1 - groups'!$A$3:$F$20,5,FALSE),"")</f>
        <v/>
      </c>
      <c r="I165" s="69" t="str">
        <f>IFERROR((MAX(starting_interval,IF(Table2[[#This Row],[gap1]]="NA",Table2[[#This Row],[avg gap]],Table2[[#This Row],[gap1]]))-starting_interval)*Table2[[#This Row],[followers1]]/Table2[[#This Row],[group size]],"")</f>
        <v/>
      </c>
      <c r="J165" s="32" t="str">
        <f>_xlfn.IFNA(VLOOKUP(Table2[[#This Row],[Name]],'Classic day 2 - players'!$A$2:$B$64,2,FALSE),"")</f>
        <v/>
      </c>
      <c r="K165" s="4" t="str">
        <f>IF(Table2[[#This Row],[tee time2]]&lt;&gt;"",COUNTIF('Classic day 2 - players'!$B$2:$B$64,"="&amp;Table2[[#This Row],[tee time2]]),"")</f>
        <v/>
      </c>
      <c r="L165" s="4" t="str">
        <f>_xlfn.IFNA(VLOOKUP(Table2[[#This Row],[tee time2]],'Classic day 2 - groups'!$A$3:$F$20,6,FALSE),"")</f>
        <v/>
      </c>
      <c r="M165" s="4" t="str">
        <f>_xlfn.IFNA(VLOOKUP(Table2[[#This Row],[tee time2]],'Classic day 2 - groups'!$A$3:$F$20,4,FALSE),"")</f>
        <v/>
      </c>
      <c r="N165" s="65" t="str">
        <f>_xlfn.IFNA(VLOOKUP(Table2[[#This Row],[tee time2]],'Classic day 2 - groups'!$A$3:$F$20,5,FALSE),"")</f>
        <v/>
      </c>
      <c r="O165" s="69" t="str">
        <f>IFERROR((MAX(starting_interval,IF(Table2[[#This Row],[gap2]]="NA",Table2[[#This Row],[avg gap]],Table2[[#This Row],[gap2]]))-starting_interval)*Table2[[#This Row],[followers2]]/Table2[[#This Row],[group size2]],"")</f>
        <v/>
      </c>
      <c r="P165" s="32" t="str">
        <f>_xlfn.IFNA(VLOOKUP(Table2[[#This Row],[Name]],'Summer FD - players'!$A$2:$B$65,2,FALSE),"")</f>
        <v/>
      </c>
      <c r="Q165" s="59" t="str">
        <f>IF(Table2[[#This Row],[tee time3]]&lt;&gt;"",COUNTIF('Summer FD - players'!$B$2:$B$65,"="&amp;Table2[[#This Row],[tee time3]]),"")</f>
        <v/>
      </c>
      <c r="R165" s="59" t="str">
        <f>_xlfn.IFNA(VLOOKUP(Table2[[#This Row],[tee time3]],'Summer FD - groups'!$A$3:$F$20,6,FALSE),"")</f>
        <v/>
      </c>
      <c r="S165" s="4" t="str">
        <f>_xlfn.IFNA(VLOOKUP(Table2[[#This Row],[tee time3]],'Summer FD - groups'!$A$3:$F$20,4,FALSE),"")</f>
        <v/>
      </c>
      <c r="T165" s="13" t="str">
        <f>_xlfn.IFNA(VLOOKUP(Table2[[#This Row],[tee time3]],'Summer FD - groups'!$A$3:$F$20,5,FALSE),"")</f>
        <v/>
      </c>
      <c r="U165" s="69" t="str">
        <f>IF(Table2[[#This Row],[avg gap]]&lt;&gt;"",IFERROR((MAX(starting_interval,IF(Table2[[#This Row],[gap3]]="NA",Table2[[#This Row],[avg gap]],Table2[[#This Row],[gap3]]))-starting_interval)*Table2[[#This Row],[followers3]]/Table2[[#This Row],[group size3]],""),"")</f>
        <v/>
      </c>
      <c r="V165" s="32" t="str">
        <f>_xlfn.IFNA(VLOOKUP(Table2[[#This Row],[Name]],'6-6-6 - players'!$A$2:$B$69,2,FALSE),"")</f>
        <v/>
      </c>
      <c r="W165" s="59" t="str">
        <f>IF(Table2[[#This Row],[tee time4]]&lt;&gt;"",COUNTIF('6-6-6 - players'!$B$2:$B$69,"="&amp;Table2[[#This Row],[tee time4]]),"")</f>
        <v/>
      </c>
      <c r="X165" s="59" t="str">
        <f>_xlfn.IFNA(VLOOKUP(Table2[[#This Row],[tee time4]],'6-6-6 - groups'!$A$3:$F$20,6,FALSE),"")</f>
        <v/>
      </c>
      <c r="Y165" s="4" t="str">
        <f>_xlfn.IFNA(VLOOKUP(Table2[[#This Row],[tee time4]],'6-6-6 - groups'!$A$3:$F$20,4,FALSE),"")</f>
        <v/>
      </c>
      <c r="Z165" s="13" t="str">
        <f>_xlfn.IFNA(VLOOKUP(Table2[[#This Row],[tee time4]],'6-6-6 - groups'!$A$3:$F$20,5,FALSE),"")</f>
        <v/>
      </c>
      <c r="AA165" s="69" t="str">
        <f>IF(Table2[[#This Row],[avg gap]]&lt;&gt;"",IFERROR((MAX(starting_interval,IF(Table2[[#This Row],[gap4]]="NA",Table2[[#This Row],[avg gap]],Table2[[#This Row],[gap4]]))-starting_interval)*Table2[[#This Row],[followers4]]/Table2[[#This Row],[group size4]],""),"")</f>
        <v/>
      </c>
      <c r="AB165" s="32" t="str">
        <f>_xlfn.IFNA(VLOOKUP(Table2[[#This Row],[Name]],'Fall FD - players'!$A$2:$B$65,2,FALSE),"")</f>
        <v/>
      </c>
      <c r="AC165" s="59" t="str">
        <f>IF(Table2[[#This Row],[tee time5]]&lt;&gt;"",COUNTIF('Fall FD - players'!$B$2:$B$65,"="&amp;Table2[[#This Row],[tee time5]]),"")</f>
        <v/>
      </c>
      <c r="AD165" s="59" t="str">
        <f>_xlfn.IFNA(VLOOKUP(Table2[[#This Row],[tee time5]],'Fall FD - groups'!$A$3:$F$20,6,FALSE),"")</f>
        <v/>
      </c>
      <c r="AE165" s="4" t="str">
        <f>_xlfn.IFNA(VLOOKUP(Table2[[#This Row],[tee time5]],'Fall FD - groups'!$A$3:$F$20,4,FALSE),"")</f>
        <v/>
      </c>
      <c r="AF165" s="13" t="str">
        <f>IFERROR(MIN(_xlfn.IFNA(VLOOKUP(Table2[[#This Row],[tee time5]],'Fall FD - groups'!$A$3:$F$20,5,FALSE),""),starting_interval + Table2[[#This Row],[round5]] - standard_round_time),"")</f>
        <v/>
      </c>
      <c r="AG165" s="69" t="str">
        <f>IF(AND(Table2[[#This Row],[gap5]]="NA",Table2[[#This Row],[round5]]&lt;4/24),0,IFERROR((MAX(starting_interval,IF(Table2[[#This Row],[gap5]]="NA",Table2[[#This Row],[avg gap]],Table2[[#This Row],[gap5]]))-starting_interval)*Table2[[#This Row],[followers5]]/Table2[[#This Row],[group size5]],""))</f>
        <v/>
      </c>
      <c r="AH165" s="32" t="str">
        <f>_xlfn.IFNA(VLOOKUP(Table2[[#This Row],[Name]],'Stableford - players'!$A$2:$B$65,2,FALSE),"")</f>
        <v/>
      </c>
      <c r="AI165" s="59" t="str">
        <f>IF(Table2[[#This Row],[tee time6]]&lt;&gt;"",COUNTIF('Stableford - players'!$B$2:$B$65,"="&amp;Table2[[#This Row],[tee time6]]),"")</f>
        <v/>
      </c>
      <c r="AJ165" s="59" t="str">
        <f>_xlfn.IFNA(VLOOKUP(Table2[[#This Row],[tee time6]],'Stableford - groups'!$A$3:$F$20,6,FALSE),"")</f>
        <v/>
      </c>
      <c r="AK165" s="11" t="str">
        <f>_xlfn.IFNA(VLOOKUP(Table2[[#This Row],[tee time6]],'Stableford - groups'!$A$3:$F$20,4,FALSE),"")</f>
        <v/>
      </c>
      <c r="AL165" s="13" t="str">
        <f>_xlfn.IFNA(VLOOKUP(Table2[[#This Row],[tee time6]],'Stableford - groups'!$A$3:$F$20,5,FALSE),"")</f>
        <v/>
      </c>
      <c r="AM165" s="68" t="str">
        <f>IF(AND(Table2[[#This Row],[gap6]]="NA",Table2[[#This Row],[round6]]&lt;4/24),0,IFERROR((MAX(starting_interval,IF(Table2[[#This Row],[gap6]]="NA",Table2[[#This Row],[avg gap]],Table2[[#This Row],[gap6]]))-starting_interval)*Table2[[#This Row],[followers6]]/Table2[[#This Row],[group size6]],""))</f>
        <v/>
      </c>
      <c r="AN165" s="32" t="str">
        <f>_xlfn.IFNA(VLOOKUP(Table2[[#This Row],[Name]],'Turkey Shoot - players'!$A$2:$B$65,2,FALSE),"")</f>
        <v/>
      </c>
      <c r="AO165" s="59" t="str">
        <f>IF(Table2[[#This Row],[tee time7]]&lt;&gt;"",COUNTIF('Turkey Shoot - players'!$B$2:$B$65,"="&amp;Table2[[#This Row],[tee time7]]),"")</f>
        <v/>
      </c>
      <c r="AP165" s="59" t="str">
        <f>_xlfn.IFNA(VLOOKUP(Table2[[#This Row],[tee time7]],'Stableford - groups'!$A$3:$F$20,6,FALSE),"")</f>
        <v/>
      </c>
      <c r="AQ165" s="11" t="str">
        <f>_xlfn.IFNA(VLOOKUP(Table2[[#This Row],[tee time7]],'Turkey Shoot - groups'!$A$3:$F$20,4,FALSE),"")</f>
        <v/>
      </c>
      <c r="AR165" s="13" t="str">
        <f>_xlfn.IFNA(VLOOKUP(Table2[[#This Row],[tee time7]],'Turkey Shoot - groups'!$A$3:$F$20,5,FALSE),"")</f>
        <v/>
      </c>
      <c r="AS165" s="68" t="str">
        <f>IF(AND(Table2[[#This Row],[gap7]]="NA",Table2[[#This Row],[round7]]&lt;4/24),0,IFERROR((MAX(starting_interval,IF(Table2[[#This Row],[gap7]]="NA",Table2[[#This Row],[avg gap]],Table2[[#This Row],[gap7]]))-starting_interval)*Table2[[#This Row],[followers7]]/Table2[[#This Row],[group size7]],""))</f>
        <v/>
      </c>
      <c r="AT165" s="72">
        <f>COUNT(Table2[[#This Row],[Tee time1]],Table2[[#This Row],[tee time2]],Table2[[#This Row],[tee time3]],Table2[[#This Row],[tee time4]],Table2[[#This Row],[tee time5]],Table2[[#This Row],[tee time6]],Table2[[#This Row],[tee time7]])</f>
        <v>0</v>
      </c>
      <c r="AU165" s="4" t="str">
        <f>IFERROR(AVERAGE(Table2[[#This Row],[Tee time1]],Table2[[#This Row],[tee time2]],Table2[[#This Row],[tee time3]],Table2[[#This Row],[tee time4]],Table2[[#This Row],[tee time5]],Table2[[#This Row],[tee time6]],Table2[[#This Row],[tee time7]]),"")</f>
        <v/>
      </c>
      <c r="AV165" s="11" t="str">
        <f>IFERROR(MEDIAN(Table2[[#This Row],[round1]],Table2[[#This Row],[Round2]],Table2[[#This Row],[round3]],Table2[[#This Row],[round4]],Table2[[#This Row],[round5]],Table2[[#This Row],[round6]],Table2[[#This Row],[round7]]),"")</f>
        <v/>
      </c>
      <c r="AW165" s="11" t="str">
        <f>IFERROR(AVERAGE(Table2[[#This Row],[gap1]],Table2[[#This Row],[gap2]],Table2[[#This Row],[gap3]],Table2[[#This Row],[gap4]],Table2[[#This Row],[gap5]],Table2[[#This Row],[gap6]],Table2[[#This Row],[gap7]]),"")</f>
        <v/>
      </c>
      <c r="AX165" s="9" t="str">
        <f>IFERROR((Table2[[#This Row],[avg gap]]-starting_interval)*24*60*Table2[[#This Row],[Count]],"NA")</f>
        <v>NA</v>
      </c>
      <c r="AY165"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65" s="2"/>
    </row>
    <row r="166" spans="1:52" hidden="1" x14ac:dyDescent="0.3">
      <c r="A166" s="10" t="s">
        <v>74</v>
      </c>
      <c r="B166" s="1" t="s">
        <v>313</v>
      </c>
      <c r="C166" s="19" t="s">
        <v>307</v>
      </c>
      <c r="D166" s="32" t="str">
        <f>_xlfn.IFNA(VLOOKUP(Table2[[#This Row],[Name]],'Classic day 1 - players'!$A$2:$B$64,2,FALSE),"")</f>
        <v/>
      </c>
      <c r="E166" s="33" t="str">
        <f>IF(Table2[[#This Row],[Tee time1]]&lt;&gt;"",COUNTIF('Classic day 1 - players'!$B$2:$B$64,"="&amp;Table2[[#This Row],[Tee time1]]),"")</f>
        <v/>
      </c>
      <c r="F166" s="4" t="str">
        <f>_xlfn.IFNA(VLOOKUP(Table2[[#This Row],[Tee time1]],'Classic day 1 - groups'!$A$3:$F$20,6,FALSE),"")</f>
        <v/>
      </c>
      <c r="G166" s="11" t="str">
        <f>_xlfn.IFNA(VLOOKUP(Table2[[#This Row],[Tee time1]],'Classic day 1 - groups'!$A$3:$F$20,4,FALSE),"")</f>
        <v/>
      </c>
      <c r="H166" s="12" t="str">
        <f>_xlfn.IFNA(VLOOKUP(Table2[[#This Row],[Tee time1]],'Classic day 1 - groups'!$A$3:$F$20,5,FALSE),"")</f>
        <v/>
      </c>
      <c r="I166" s="69" t="str">
        <f>IFERROR((MAX(starting_interval,IF(Table2[[#This Row],[gap1]]="NA",Table2[[#This Row],[avg gap]],Table2[[#This Row],[gap1]]))-starting_interval)*Table2[[#This Row],[followers1]]/Table2[[#This Row],[group size]],"")</f>
        <v/>
      </c>
      <c r="J166" s="32" t="str">
        <f>_xlfn.IFNA(VLOOKUP(Table2[[#This Row],[Name]],'Classic day 2 - players'!$A$2:$B$64,2,FALSE),"")</f>
        <v/>
      </c>
      <c r="K166" s="4" t="str">
        <f>IF(Table2[[#This Row],[tee time2]]&lt;&gt;"",COUNTIF('Classic day 2 - players'!$B$2:$B$64,"="&amp;Table2[[#This Row],[tee time2]]),"")</f>
        <v/>
      </c>
      <c r="L166" s="4" t="str">
        <f>_xlfn.IFNA(VLOOKUP(Table2[[#This Row],[tee time2]],'Classic day 2 - groups'!$A$3:$F$20,6,FALSE),"")</f>
        <v/>
      </c>
      <c r="M166" s="4" t="str">
        <f>_xlfn.IFNA(VLOOKUP(Table2[[#This Row],[tee time2]],'Classic day 2 - groups'!$A$3:$F$20,4,FALSE),"")</f>
        <v/>
      </c>
      <c r="N166" s="65" t="str">
        <f>_xlfn.IFNA(VLOOKUP(Table2[[#This Row],[tee time2]],'Classic day 2 - groups'!$A$3:$F$20,5,FALSE),"")</f>
        <v/>
      </c>
      <c r="O166" s="69" t="str">
        <f>IFERROR((MAX(starting_interval,IF(Table2[[#This Row],[gap2]]="NA",Table2[[#This Row],[avg gap]],Table2[[#This Row],[gap2]]))-starting_interval)*Table2[[#This Row],[followers2]]/Table2[[#This Row],[group size2]],"")</f>
        <v/>
      </c>
      <c r="P166" s="32" t="str">
        <f>_xlfn.IFNA(VLOOKUP(Table2[[#This Row],[Name]],'Summer FD - players'!$A$2:$B$65,2,FALSE),"")</f>
        <v/>
      </c>
      <c r="Q166" s="59" t="str">
        <f>IF(Table2[[#This Row],[tee time3]]&lt;&gt;"",COUNTIF('Summer FD - players'!$B$2:$B$65,"="&amp;Table2[[#This Row],[tee time3]]),"")</f>
        <v/>
      </c>
      <c r="R166" s="59" t="str">
        <f>_xlfn.IFNA(VLOOKUP(Table2[[#This Row],[tee time3]],'Summer FD - groups'!$A$3:$F$20,6,FALSE),"")</f>
        <v/>
      </c>
      <c r="S166" s="4" t="str">
        <f>_xlfn.IFNA(VLOOKUP(Table2[[#This Row],[tee time3]],'Summer FD - groups'!$A$3:$F$20,4,FALSE),"")</f>
        <v/>
      </c>
      <c r="T166" s="13" t="str">
        <f>_xlfn.IFNA(VLOOKUP(Table2[[#This Row],[tee time3]],'Summer FD - groups'!$A$3:$F$20,5,FALSE),"")</f>
        <v/>
      </c>
      <c r="U166" s="69" t="str">
        <f>IF(Table2[[#This Row],[avg gap]]&lt;&gt;"",IFERROR((MAX(starting_interval,IF(Table2[[#This Row],[gap3]]="NA",Table2[[#This Row],[avg gap]],Table2[[#This Row],[gap3]]))-starting_interval)*Table2[[#This Row],[followers3]]/Table2[[#This Row],[group size3]],""),"")</f>
        <v/>
      </c>
      <c r="V166" s="32" t="str">
        <f>_xlfn.IFNA(VLOOKUP(Table2[[#This Row],[Name]],'6-6-6 - players'!$A$2:$B$69,2,FALSE),"")</f>
        <v/>
      </c>
      <c r="W166" s="59" t="str">
        <f>IF(Table2[[#This Row],[tee time4]]&lt;&gt;"",COUNTIF('6-6-6 - players'!$B$2:$B$69,"="&amp;Table2[[#This Row],[tee time4]]),"")</f>
        <v/>
      </c>
      <c r="X166" s="59" t="str">
        <f>_xlfn.IFNA(VLOOKUP(Table2[[#This Row],[tee time4]],'6-6-6 - groups'!$A$3:$F$20,6,FALSE),"")</f>
        <v/>
      </c>
      <c r="Y166" s="4" t="str">
        <f>_xlfn.IFNA(VLOOKUP(Table2[[#This Row],[tee time4]],'6-6-6 - groups'!$A$3:$F$20,4,FALSE),"")</f>
        <v/>
      </c>
      <c r="Z166" s="13" t="str">
        <f>_xlfn.IFNA(VLOOKUP(Table2[[#This Row],[tee time4]],'6-6-6 - groups'!$A$3:$F$20,5,FALSE),"")</f>
        <v/>
      </c>
      <c r="AA166" s="69" t="str">
        <f>IF(Table2[[#This Row],[avg gap]]&lt;&gt;"",IFERROR((MAX(starting_interval,IF(Table2[[#This Row],[gap4]]="NA",Table2[[#This Row],[avg gap]],Table2[[#This Row],[gap4]]))-starting_interval)*Table2[[#This Row],[followers4]]/Table2[[#This Row],[group size4]],""),"")</f>
        <v/>
      </c>
      <c r="AB166" s="32" t="str">
        <f>_xlfn.IFNA(VLOOKUP(Table2[[#This Row],[Name]],'Fall FD - players'!$A$2:$B$65,2,FALSE),"")</f>
        <v/>
      </c>
      <c r="AC166" s="59" t="str">
        <f>IF(Table2[[#This Row],[tee time5]]&lt;&gt;"",COUNTIF('Fall FD - players'!$B$2:$B$65,"="&amp;Table2[[#This Row],[tee time5]]),"")</f>
        <v/>
      </c>
      <c r="AD166" s="59" t="str">
        <f>_xlfn.IFNA(VLOOKUP(Table2[[#This Row],[tee time5]],'Fall FD - groups'!$A$3:$F$20,6,FALSE),"")</f>
        <v/>
      </c>
      <c r="AE166" s="4" t="str">
        <f>_xlfn.IFNA(VLOOKUP(Table2[[#This Row],[tee time5]],'Fall FD - groups'!$A$3:$F$20,4,FALSE),"")</f>
        <v/>
      </c>
      <c r="AF166" s="13" t="str">
        <f>IFERROR(MIN(_xlfn.IFNA(VLOOKUP(Table2[[#This Row],[tee time5]],'Fall FD - groups'!$A$3:$F$20,5,FALSE),""),starting_interval + Table2[[#This Row],[round5]] - standard_round_time),"")</f>
        <v/>
      </c>
      <c r="AG166" s="69" t="str">
        <f>IF(AND(Table2[[#This Row],[gap5]]="NA",Table2[[#This Row],[round5]]&lt;4/24),0,IFERROR((MAX(starting_interval,IF(Table2[[#This Row],[gap5]]="NA",Table2[[#This Row],[avg gap]],Table2[[#This Row],[gap5]]))-starting_interval)*Table2[[#This Row],[followers5]]/Table2[[#This Row],[group size5]],""))</f>
        <v/>
      </c>
      <c r="AH166" s="32" t="str">
        <f>_xlfn.IFNA(VLOOKUP(Table2[[#This Row],[Name]],'Stableford - players'!$A$2:$B$65,2,FALSE),"")</f>
        <v/>
      </c>
      <c r="AI166" s="59" t="str">
        <f>IF(Table2[[#This Row],[tee time6]]&lt;&gt;"",COUNTIF('Stableford - players'!$B$2:$B$65,"="&amp;Table2[[#This Row],[tee time6]]),"")</f>
        <v/>
      </c>
      <c r="AJ166" s="59" t="str">
        <f>_xlfn.IFNA(VLOOKUP(Table2[[#This Row],[tee time6]],'Stableford - groups'!$A$3:$F$20,6,FALSE),"")</f>
        <v/>
      </c>
      <c r="AK166" s="11" t="str">
        <f>_xlfn.IFNA(VLOOKUP(Table2[[#This Row],[tee time6]],'Stableford - groups'!$A$3:$F$20,4,FALSE),"")</f>
        <v/>
      </c>
      <c r="AL166" s="13" t="str">
        <f>_xlfn.IFNA(VLOOKUP(Table2[[#This Row],[tee time6]],'Stableford - groups'!$A$3:$F$20,5,FALSE),"")</f>
        <v/>
      </c>
      <c r="AM166" s="68" t="str">
        <f>IF(AND(Table2[[#This Row],[gap6]]="NA",Table2[[#This Row],[round6]]&lt;4/24),0,IFERROR((MAX(starting_interval,IF(Table2[[#This Row],[gap6]]="NA",Table2[[#This Row],[avg gap]],Table2[[#This Row],[gap6]]))-starting_interval)*Table2[[#This Row],[followers6]]/Table2[[#This Row],[group size6]],""))</f>
        <v/>
      </c>
      <c r="AN166" s="32" t="str">
        <f>_xlfn.IFNA(VLOOKUP(Table2[[#This Row],[Name]],'Turkey Shoot - players'!$A$2:$B$65,2,FALSE),"")</f>
        <v/>
      </c>
      <c r="AO166" s="59" t="str">
        <f>IF(Table2[[#This Row],[tee time7]]&lt;&gt;"",COUNTIF('Turkey Shoot - players'!$B$2:$B$65,"="&amp;Table2[[#This Row],[tee time7]]),"")</f>
        <v/>
      </c>
      <c r="AP166" s="59" t="str">
        <f>_xlfn.IFNA(VLOOKUP(Table2[[#This Row],[tee time7]],'Stableford - groups'!$A$3:$F$20,6,FALSE),"")</f>
        <v/>
      </c>
      <c r="AQ166" s="11" t="str">
        <f>_xlfn.IFNA(VLOOKUP(Table2[[#This Row],[tee time7]],'Turkey Shoot - groups'!$A$3:$F$20,4,FALSE),"")</f>
        <v/>
      </c>
      <c r="AR166" s="13" t="str">
        <f>_xlfn.IFNA(VLOOKUP(Table2[[#This Row],[tee time7]],'Turkey Shoot - groups'!$A$3:$F$20,5,FALSE),"")</f>
        <v/>
      </c>
      <c r="AS166" s="68" t="str">
        <f>IF(AND(Table2[[#This Row],[gap7]]="NA",Table2[[#This Row],[round7]]&lt;4/24),0,IFERROR((MAX(starting_interval,IF(Table2[[#This Row],[gap7]]="NA",Table2[[#This Row],[avg gap]],Table2[[#This Row],[gap7]]))-starting_interval)*Table2[[#This Row],[followers7]]/Table2[[#This Row],[group size7]],""))</f>
        <v/>
      </c>
      <c r="AT166" s="72">
        <f>COUNT(Table2[[#This Row],[Tee time1]],Table2[[#This Row],[tee time2]],Table2[[#This Row],[tee time3]],Table2[[#This Row],[tee time4]],Table2[[#This Row],[tee time5]],Table2[[#This Row],[tee time6]],Table2[[#This Row],[tee time7]])</f>
        <v>0</v>
      </c>
      <c r="AU166" s="4" t="str">
        <f>IFERROR(AVERAGE(Table2[[#This Row],[Tee time1]],Table2[[#This Row],[tee time2]],Table2[[#This Row],[tee time3]],Table2[[#This Row],[tee time4]],Table2[[#This Row],[tee time5]],Table2[[#This Row],[tee time6]],Table2[[#This Row],[tee time7]]),"")</f>
        <v/>
      </c>
      <c r="AV166" s="11" t="str">
        <f>IFERROR(MEDIAN(Table2[[#This Row],[round1]],Table2[[#This Row],[Round2]],Table2[[#This Row],[round3]],Table2[[#This Row],[round4]],Table2[[#This Row],[round5]],Table2[[#This Row],[round6]],Table2[[#This Row],[round7]]),"")</f>
        <v/>
      </c>
      <c r="AW166" s="11" t="str">
        <f>IFERROR(AVERAGE(Table2[[#This Row],[gap1]],Table2[[#This Row],[gap2]],Table2[[#This Row],[gap3]],Table2[[#This Row],[gap4]],Table2[[#This Row],[gap5]],Table2[[#This Row],[gap6]],Table2[[#This Row],[gap7]]),"")</f>
        <v/>
      </c>
      <c r="AX166" s="9" t="str">
        <f>IFERROR((Table2[[#This Row],[avg gap]]-starting_interval)*24*60*Table2[[#This Row],[Count]],"NA")</f>
        <v>NA</v>
      </c>
      <c r="AY166"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66" s="2"/>
    </row>
    <row r="167" spans="1:52" hidden="1" x14ac:dyDescent="0.3">
      <c r="A167" s="10" t="s">
        <v>76</v>
      </c>
      <c r="B167" s="1" t="s">
        <v>315</v>
      </c>
      <c r="C167" s="19">
        <v>12.6</v>
      </c>
      <c r="D167" s="32" t="str">
        <f>_xlfn.IFNA(VLOOKUP(Table2[[#This Row],[Name]],'Classic day 1 - players'!$A$2:$B$64,2,FALSE),"")</f>
        <v/>
      </c>
      <c r="E167" s="33" t="str">
        <f>IF(Table2[[#This Row],[Tee time1]]&lt;&gt;"",COUNTIF('Classic day 1 - players'!$B$2:$B$64,"="&amp;Table2[[#This Row],[Tee time1]]),"")</f>
        <v/>
      </c>
      <c r="F167" s="4" t="str">
        <f>_xlfn.IFNA(VLOOKUP(Table2[[#This Row],[Tee time1]],'Classic day 1 - groups'!$A$3:$F$20,6,FALSE),"")</f>
        <v/>
      </c>
      <c r="G167" s="11" t="str">
        <f>_xlfn.IFNA(VLOOKUP(Table2[[#This Row],[Tee time1]],'Classic day 1 - groups'!$A$3:$F$20,4,FALSE),"")</f>
        <v/>
      </c>
      <c r="H167" s="12" t="str">
        <f>_xlfn.IFNA(VLOOKUP(Table2[[#This Row],[Tee time1]],'Classic day 1 - groups'!$A$3:$F$20,5,FALSE),"")</f>
        <v/>
      </c>
      <c r="I167" s="69" t="str">
        <f>IFERROR((MAX(starting_interval,IF(Table2[[#This Row],[gap1]]="NA",Table2[[#This Row],[avg gap]],Table2[[#This Row],[gap1]]))-starting_interval)*Table2[[#This Row],[followers1]]/Table2[[#This Row],[group size]],"")</f>
        <v/>
      </c>
      <c r="J167" s="32" t="str">
        <f>_xlfn.IFNA(VLOOKUP(Table2[[#This Row],[Name]],'Classic day 2 - players'!$A$2:$B$64,2,FALSE),"")</f>
        <v/>
      </c>
      <c r="K167" s="4" t="str">
        <f>IF(Table2[[#This Row],[tee time2]]&lt;&gt;"",COUNTIF('Classic day 2 - players'!$B$2:$B$64,"="&amp;Table2[[#This Row],[tee time2]]),"")</f>
        <v/>
      </c>
      <c r="L167" s="4" t="str">
        <f>_xlfn.IFNA(VLOOKUP(Table2[[#This Row],[tee time2]],'Classic day 2 - groups'!$A$3:$F$20,6,FALSE),"")</f>
        <v/>
      </c>
      <c r="M167" s="4" t="str">
        <f>_xlfn.IFNA(VLOOKUP(Table2[[#This Row],[tee time2]],'Classic day 2 - groups'!$A$3:$F$20,4,FALSE),"")</f>
        <v/>
      </c>
      <c r="N167" s="65" t="str">
        <f>_xlfn.IFNA(VLOOKUP(Table2[[#This Row],[tee time2]],'Classic day 2 - groups'!$A$3:$F$20,5,FALSE),"")</f>
        <v/>
      </c>
      <c r="O167" s="69" t="str">
        <f>IFERROR((MAX(starting_interval,IF(Table2[[#This Row],[gap2]]="NA",Table2[[#This Row],[avg gap]],Table2[[#This Row],[gap2]]))-starting_interval)*Table2[[#This Row],[followers2]]/Table2[[#This Row],[group size2]],"")</f>
        <v/>
      </c>
      <c r="P167" s="32" t="str">
        <f>_xlfn.IFNA(VLOOKUP(Table2[[#This Row],[Name]],'Summer FD - players'!$A$2:$B$65,2,FALSE),"")</f>
        <v/>
      </c>
      <c r="Q167" s="59" t="str">
        <f>IF(Table2[[#This Row],[tee time3]]&lt;&gt;"",COUNTIF('Summer FD - players'!$B$2:$B$65,"="&amp;Table2[[#This Row],[tee time3]]),"")</f>
        <v/>
      </c>
      <c r="R167" s="59" t="str">
        <f>_xlfn.IFNA(VLOOKUP(Table2[[#This Row],[tee time3]],'Summer FD - groups'!$A$3:$F$20,6,FALSE),"")</f>
        <v/>
      </c>
      <c r="S167" s="4" t="str">
        <f>_xlfn.IFNA(VLOOKUP(Table2[[#This Row],[tee time3]],'Summer FD - groups'!$A$3:$F$20,4,FALSE),"")</f>
        <v/>
      </c>
      <c r="T167" s="13" t="str">
        <f>_xlfn.IFNA(VLOOKUP(Table2[[#This Row],[tee time3]],'Summer FD - groups'!$A$3:$F$20,5,FALSE),"")</f>
        <v/>
      </c>
      <c r="U167" s="69" t="str">
        <f>IF(Table2[[#This Row],[avg gap]]&lt;&gt;"",IFERROR((MAX(starting_interval,IF(Table2[[#This Row],[gap3]]="NA",Table2[[#This Row],[avg gap]],Table2[[#This Row],[gap3]]))-starting_interval)*Table2[[#This Row],[followers3]]/Table2[[#This Row],[group size3]],""),"")</f>
        <v/>
      </c>
      <c r="V167" s="32" t="str">
        <f>_xlfn.IFNA(VLOOKUP(Table2[[#This Row],[Name]],'6-6-6 - players'!$A$2:$B$69,2,FALSE),"")</f>
        <v/>
      </c>
      <c r="W167" s="59" t="str">
        <f>IF(Table2[[#This Row],[tee time4]]&lt;&gt;"",COUNTIF('6-6-6 - players'!$B$2:$B$69,"="&amp;Table2[[#This Row],[tee time4]]),"")</f>
        <v/>
      </c>
      <c r="X167" s="59" t="str">
        <f>_xlfn.IFNA(VLOOKUP(Table2[[#This Row],[tee time4]],'6-6-6 - groups'!$A$3:$F$20,6,FALSE),"")</f>
        <v/>
      </c>
      <c r="Y167" s="4" t="str">
        <f>_xlfn.IFNA(VLOOKUP(Table2[[#This Row],[tee time4]],'6-6-6 - groups'!$A$3:$F$20,4,FALSE),"")</f>
        <v/>
      </c>
      <c r="Z167" s="13" t="str">
        <f>_xlfn.IFNA(VLOOKUP(Table2[[#This Row],[tee time4]],'6-6-6 - groups'!$A$3:$F$20,5,FALSE),"")</f>
        <v/>
      </c>
      <c r="AA167" s="69" t="str">
        <f>IF(Table2[[#This Row],[avg gap]]&lt;&gt;"",IFERROR((MAX(starting_interval,IF(Table2[[#This Row],[gap4]]="NA",Table2[[#This Row],[avg gap]],Table2[[#This Row],[gap4]]))-starting_interval)*Table2[[#This Row],[followers4]]/Table2[[#This Row],[group size4]],""),"")</f>
        <v/>
      </c>
      <c r="AB167" s="32" t="str">
        <f>_xlfn.IFNA(VLOOKUP(Table2[[#This Row],[Name]],'Fall FD - players'!$A$2:$B$65,2,FALSE),"")</f>
        <v/>
      </c>
      <c r="AC167" s="59" t="str">
        <f>IF(Table2[[#This Row],[tee time5]]&lt;&gt;"",COUNTIF('Fall FD - players'!$B$2:$B$65,"="&amp;Table2[[#This Row],[tee time5]]),"")</f>
        <v/>
      </c>
      <c r="AD167" s="59" t="str">
        <f>_xlfn.IFNA(VLOOKUP(Table2[[#This Row],[tee time5]],'Fall FD - groups'!$A$3:$F$20,6,FALSE),"")</f>
        <v/>
      </c>
      <c r="AE167" s="4" t="str">
        <f>_xlfn.IFNA(VLOOKUP(Table2[[#This Row],[tee time5]],'Fall FD - groups'!$A$3:$F$20,4,FALSE),"")</f>
        <v/>
      </c>
      <c r="AF167" s="13" t="str">
        <f>IFERROR(MIN(_xlfn.IFNA(VLOOKUP(Table2[[#This Row],[tee time5]],'Fall FD - groups'!$A$3:$F$20,5,FALSE),""),starting_interval + Table2[[#This Row],[round5]] - standard_round_time),"")</f>
        <v/>
      </c>
      <c r="AG167" s="69" t="str">
        <f>IF(AND(Table2[[#This Row],[gap5]]="NA",Table2[[#This Row],[round5]]&lt;4/24),0,IFERROR((MAX(starting_interval,IF(Table2[[#This Row],[gap5]]="NA",Table2[[#This Row],[avg gap]],Table2[[#This Row],[gap5]]))-starting_interval)*Table2[[#This Row],[followers5]]/Table2[[#This Row],[group size5]],""))</f>
        <v/>
      </c>
      <c r="AH167" s="32" t="str">
        <f>_xlfn.IFNA(VLOOKUP(Table2[[#This Row],[Name]],'Stableford - players'!$A$2:$B$65,2,FALSE),"")</f>
        <v/>
      </c>
      <c r="AI167" s="59" t="str">
        <f>IF(Table2[[#This Row],[tee time6]]&lt;&gt;"",COUNTIF('Stableford - players'!$B$2:$B$65,"="&amp;Table2[[#This Row],[tee time6]]),"")</f>
        <v/>
      </c>
      <c r="AJ167" s="59" t="str">
        <f>_xlfn.IFNA(VLOOKUP(Table2[[#This Row],[tee time6]],'Stableford - groups'!$A$3:$F$20,6,FALSE),"")</f>
        <v/>
      </c>
      <c r="AK167" s="11" t="str">
        <f>_xlfn.IFNA(VLOOKUP(Table2[[#This Row],[tee time6]],'Stableford - groups'!$A$3:$F$20,4,FALSE),"")</f>
        <v/>
      </c>
      <c r="AL167" s="13" t="str">
        <f>_xlfn.IFNA(VLOOKUP(Table2[[#This Row],[tee time6]],'Stableford - groups'!$A$3:$F$20,5,FALSE),"")</f>
        <v/>
      </c>
      <c r="AM167" s="68" t="str">
        <f>IF(AND(Table2[[#This Row],[gap6]]="NA",Table2[[#This Row],[round6]]&lt;4/24),0,IFERROR((MAX(starting_interval,IF(Table2[[#This Row],[gap6]]="NA",Table2[[#This Row],[avg gap]],Table2[[#This Row],[gap6]]))-starting_interval)*Table2[[#This Row],[followers6]]/Table2[[#This Row],[group size6]],""))</f>
        <v/>
      </c>
      <c r="AN167" s="32" t="str">
        <f>_xlfn.IFNA(VLOOKUP(Table2[[#This Row],[Name]],'Turkey Shoot - players'!$A$2:$B$65,2,FALSE),"")</f>
        <v/>
      </c>
      <c r="AO167" s="59" t="str">
        <f>IF(Table2[[#This Row],[tee time7]]&lt;&gt;"",COUNTIF('Turkey Shoot - players'!$B$2:$B$65,"="&amp;Table2[[#This Row],[tee time7]]),"")</f>
        <v/>
      </c>
      <c r="AP167" s="59" t="str">
        <f>_xlfn.IFNA(VLOOKUP(Table2[[#This Row],[tee time7]],'Stableford - groups'!$A$3:$F$20,6,FALSE),"")</f>
        <v/>
      </c>
      <c r="AQ167" s="11" t="str">
        <f>_xlfn.IFNA(VLOOKUP(Table2[[#This Row],[tee time7]],'Turkey Shoot - groups'!$A$3:$F$20,4,FALSE),"")</f>
        <v/>
      </c>
      <c r="AR167" s="13" t="str">
        <f>_xlfn.IFNA(VLOOKUP(Table2[[#This Row],[tee time7]],'Turkey Shoot - groups'!$A$3:$F$20,5,FALSE),"")</f>
        <v/>
      </c>
      <c r="AS167" s="68" t="str">
        <f>IF(AND(Table2[[#This Row],[gap7]]="NA",Table2[[#This Row],[round7]]&lt;4/24),0,IFERROR((MAX(starting_interval,IF(Table2[[#This Row],[gap7]]="NA",Table2[[#This Row],[avg gap]],Table2[[#This Row],[gap7]]))-starting_interval)*Table2[[#This Row],[followers7]]/Table2[[#This Row],[group size7]],""))</f>
        <v/>
      </c>
      <c r="AT167" s="72">
        <f>COUNT(Table2[[#This Row],[Tee time1]],Table2[[#This Row],[tee time2]],Table2[[#This Row],[tee time3]],Table2[[#This Row],[tee time4]],Table2[[#This Row],[tee time5]],Table2[[#This Row],[tee time6]],Table2[[#This Row],[tee time7]])</f>
        <v>0</v>
      </c>
      <c r="AU167" s="4" t="str">
        <f>IFERROR(AVERAGE(Table2[[#This Row],[Tee time1]],Table2[[#This Row],[tee time2]],Table2[[#This Row],[tee time3]],Table2[[#This Row],[tee time4]],Table2[[#This Row],[tee time5]],Table2[[#This Row],[tee time6]],Table2[[#This Row],[tee time7]]),"")</f>
        <v/>
      </c>
      <c r="AV167" s="11" t="str">
        <f>IFERROR(MEDIAN(Table2[[#This Row],[round1]],Table2[[#This Row],[Round2]],Table2[[#This Row],[round3]],Table2[[#This Row],[round4]],Table2[[#This Row],[round5]],Table2[[#This Row],[round6]],Table2[[#This Row],[round7]]),"")</f>
        <v/>
      </c>
      <c r="AW167" s="11" t="str">
        <f>IFERROR(AVERAGE(Table2[[#This Row],[gap1]],Table2[[#This Row],[gap2]],Table2[[#This Row],[gap3]],Table2[[#This Row],[gap4]],Table2[[#This Row],[gap5]],Table2[[#This Row],[gap6]],Table2[[#This Row],[gap7]]),"")</f>
        <v/>
      </c>
      <c r="AX167" s="9" t="str">
        <f>IFERROR((Table2[[#This Row],[avg gap]]-starting_interval)*24*60*Table2[[#This Row],[Count]],"NA")</f>
        <v>NA</v>
      </c>
      <c r="AY167"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67" s="2"/>
    </row>
    <row r="168" spans="1:52" hidden="1" x14ac:dyDescent="0.3">
      <c r="A168" s="10" t="s">
        <v>77</v>
      </c>
      <c r="B168" s="1" t="s">
        <v>316</v>
      </c>
      <c r="C168" s="19">
        <v>10.9</v>
      </c>
      <c r="D168" s="32" t="str">
        <f>_xlfn.IFNA(VLOOKUP(Table2[[#This Row],[Name]],'Classic day 1 - players'!$A$2:$B$64,2,FALSE),"")</f>
        <v/>
      </c>
      <c r="E168" s="33" t="str">
        <f>IF(Table2[[#This Row],[Tee time1]]&lt;&gt;"",COUNTIF('Classic day 1 - players'!$B$2:$B$64,"="&amp;Table2[[#This Row],[Tee time1]]),"")</f>
        <v/>
      </c>
      <c r="F168" s="4" t="str">
        <f>_xlfn.IFNA(VLOOKUP(Table2[[#This Row],[Tee time1]],'Classic day 1 - groups'!$A$3:$F$20,6,FALSE),"")</f>
        <v/>
      </c>
      <c r="G168" s="11" t="str">
        <f>_xlfn.IFNA(VLOOKUP(Table2[[#This Row],[Tee time1]],'Classic day 1 - groups'!$A$3:$F$20,4,FALSE),"")</f>
        <v/>
      </c>
      <c r="H168" s="12" t="str">
        <f>_xlfn.IFNA(VLOOKUP(Table2[[#This Row],[Tee time1]],'Classic day 1 - groups'!$A$3:$F$20,5,FALSE),"")</f>
        <v/>
      </c>
      <c r="I168" s="69" t="str">
        <f>IFERROR((MAX(starting_interval,IF(Table2[[#This Row],[gap1]]="NA",Table2[[#This Row],[avg gap]],Table2[[#This Row],[gap1]]))-starting_interval)*Table2[[#This Row],[followers1]]/Table2[[#This Row],[group size]],"")</f>
        <v/>
      </c>
      <c r="J168" s="32" t="str">
        <f>_xlfn.IFNA(VLOOKUP(Table2[[#This Row],[Name]],'Classic day 2 - players'!$A$2:$B$64,2,FALSE),"")</f>
        <v/>
      </c>
      <c r="K168" s="4" t="str">
        <f>IF(Table2[[#This Row],[tee time2]]&lt;&gt;"",COUNTIF('Classic day 2 - players'!$B$2:$B$64,"="&amp;Table2[[#This Row],[tee time2]]),"")</f>
        <v/>
      </c>
      <c r="L168" s="4" t="str">
        <f>_xlfn.IFNA(VLOOKUP(Table2[[#This Row],[tee time2]],'Classic day 2 - groups'!$A$3:$F$20,6,FALSE),"")</f>
        <v/>
      </c>
      <c r="M168" s="4" t="str">
        <f>_xlfn.IFNA(VLOOKUP(Table2[[#This Row],[tee time2]],'Classic day 2 - groups'!$A$3:$F$20,4,FALSE),"")</f>
        <v/>
      </c>
      <c r="N168" s="65" t="str">
        <f>_xlfn.IFNA(VLOOKUP(Table2[[#This Row],[tee time2]],'Classic day 2 - groups'!$A$3:$F$20,5,FALSE),"")</f>
        <v/>
      </c>
      <c r="O168" s="69" t="str">
        <f>IFERROR((MAX(starting_interval,IF(Table2[[#This Row],[gap2]]="NA",Table2[[#This Row],[avg gap]],Table2[[#This Row],[gap2]]))-starting_interval)*Table2[[#This Row],[followers2]]/Table2[[#This Row],[group size2]],"")</f>
        <v/>
      </c>
      <c r="P168" s="32" t="str">
        <f>_xlfn.IFNA(VLOOKUP(Table2[[#This Row],[Name]],'Summer FD - players'!$A$2:$B$65,2,FALSE),"")</f>
        <v/>
      </c>
      <c r="Q168" s="59" t="str">
        <f>IF(Table2[[#This Row],[tee time3]]&lt;&gt;"",COUNTIF('Summer FD - players'!$B$2:$B$65,"="&amp;Table2[[#This Row],[tee time3]]),"")</f>
        <v/>
      </c>
      <c r="R168" s="59" t="str">
        <f>_xlfn.IFNA(VLOOKUP(Table2[[#This Row],[tee time3]],'Summer FD - groups'!$A$3:$F$20,6,FALSE),"")</f>
        <v/>
      </c>
      <c r="S168" s="4" t="str">
        <f>_xlfn.IFNA(VLOOKUP(Table2[[#This Row],[tee time3]],'Summer FD - groups'!$A$3:$F$20,4,FALSE),"")</f>
        <v/>
      </c>
      <c r="T168" s="13" t="str">
        <f>_xlfn.IFNA(VLOOKUP(Table2[[#This Row],[tee time3]],'Summer FD - groups'!$A$3:$F$20,5,FALSE),"")</f>
        <v/>
      </c>
      <c r="U168" s="69" t="str">
        <f>IF(Table2[[#This Row],[avg gap]]&lt;&gt;"",IFERROR((MAX(starting_interval,IF(Table2[[#This Row],[gap3]]="NA",Table2[[#This Row],[avg gap]],Table2[[#This Row],[gap3]]))-starting_interval)*Table2[[#This Row],[followers3]]/Table2[[#This Row],[group size3]],""),"")</f>
        <v/>
      </c>
      <c r="V168" s="32" t="str">
        <f>_xlfn.IFNA(VLOOKUP(Table2[[#This Row],[Name]],'6-6-6 - players'!$A$2:$B$69,2,FALSE),"")</f>
        <v/>
      </c>
      <c r="W168" s="59" t="str">
        <f>IF(Table2[[#This Row],[tee time4]]&lt;&gt;"",COUNTIF('6-6-6 - players'!$B$2:$B$69,"="&amp;Table2[[#This Row],[tee time4]]),"")</f>
        <v/>
      </c>
      <c r="X168" s="59" t="str">
        <f>_xlfn.IFNA(VLOOKUP(Table2[[#This Row],[tee time4]],'6-6-6 - groups'!$A$3:$F$20,6,FALSE),"")</f>
        <v/>
      </c>
      <c r="Y168" s="4" t="str">
        <f>_xlfn.IFNA(VLOOKUP(Table2[[#This Row],[tee time4]],'6-6-6 - groups'!$A$3:$F$20,4,FALSE),"")</f>
        <v/>
      </c>
      <c r="Z168" s="13" t="str">
        <f>_xlfn.IFNA(VLOOKUP(Table2[[#This Row],[tee time4]],'6-6-6 - groups'!$A$3:$F$20,5,FALSE),"")</f>
        <v/>
      </c>
      <c r="AA168" s="69" t="str">
        <f>IF(Table2[[#This Row],[avg gap]]&lt;&gt;"",IFERROR((MAX(starting_interval,IF(Table2[[#This Row],[gap4]]="NA",Table2[[#This Row],[avg gap]],Table2[[#This Row],[gap4]]))-starting_interval)*Table2[[#This Row],[followers4]]/Table2[[#This Row],[group size4]],""),"")</f>
        <v/>
      </c>
      <c r="AB168" s="32" t="str">
        <f>_xlfn.IFNA(VLOOKUP(Table2[[#This Row],[Name]],'Fall FD - players'!$A$2:$B$65,2,FALSE),"")</f>
        <v/>
      </c>
      <c r="AC168" s="59" t="str">
        <f>IF(Table2[[#This Row],[tee time5]]&lt;&gt;"",COUNTIF('Fall FD - players'!$B$2:$B$65,"="&amp;Table2[[#This Row],[tee time5]]),"")</f>
        <v/>
      </c>
      <c r="AD168" s="59" t="str">
        <f>_xlfn.IFNA(VLOOKUP(Table2[[#This Row],[tee time5]],'Fall FD - groups'!$A$3:$F$20,6,FALSE),"")</f>
        <v/>
      </c>
      <c r="AE168" s="4" t="str">
        <f>_xlfn.IFNA(VLOOKUP(Table2[[#This Row],[tee time5]],'Fall FD - groups'!$A$3:$F$20,4,FALSE),"")</f>
        <v/>
      </c>
      <c r="AF168" s="13" t="str">
        <f>IFERROR(MIN(_xlfn.IFNA(VLOOKUP(Table2[[#This Row],[tee time5]],'Fall FD - groups'!$A$3:$F$20,5,FALSE),""),starting_interval + Table2[[#This Row],[round5]] - standard_round_time),"")</f>
        <v/>
      </c>
      <c r="AG168" s="69" t="str">
        <f>IF(AND(Table2[[#This Row],[gap5]]="NA",Table2[[#This Row],[round5]]&lt;4/24),0,IFERROR((MAX(starting_interval,IF(Table2[[#This Row],[gap5]]="NA",Table2[[#This Row],[avg gap]],Table2[[#This Row],[gap5]]))-starting_interval)*Table2[[#This Row],[followers5]]/Table2[[#This Row],[group size5]],""))</f>
        <v/>
      </c>
      <c r="AH168" s="32" t="str">
        <f>_xlfn.IFNA(VLOOKUP(Table2[[#This Row],[Name]],'Stableford - players'!$A$2:$B$65,2,FALSE),"")</f>
        <v/>
      </c>
      <c r="AI168" s="59" t="str">
        <f>IF(Table2[[#This Row],[tee time6]]&lt;&gt;"",COUNTIF('Stableford - players'!$B$2:$B$65,"="&amp;Table2[[#This Row],[tee time6]]),"")</f>
        <v/>
      </c>
      <c r="AJ168" s="59" t="str">
        <f>_xlfn.IFNA(VLOOKUP(Table2[[#This Row],[tee time6]],'Stableford - groups'!$A$3:$F$20,6,FALSE),"")</f>
        <v/>
      </c>
      <c r="AK168" s="11" t="str">
        <f>_xlfn.IFNA(VLOOKUP(Table2[[#This Row],[tee time6]],'Stableford - groups'!$A$3:$F$20,4,FALSE),"")</f>
        <v/>
      </c>
      <c r="AL168" s="13" t="str">
        <f>_xlfn.IFNA(VLOOKUP(Table2[[#This Row],[tee time6]],'Stableford - groups'!$A$3:$F$20,5,FALSE),"")</f>
        <v/>
      </c>
      <c r="AM168" s="68" t="str">
        <f>IF(AND(Table2[[#This Row],[gap6]]="NA",Table2[[#This Row],[round6]]&lt;4/24),0,IFERROR((MAX(starting_interval,IF(Table2[[#This Row],[gap6]]="NA",Table2[[#This Row],[avg gap]],Table2[[#This Row],[gap6]]))-starting_interval)*Table2[[#This Row],[followers6]]/Table2[[#This Row],[group size6]],""))</f>
        <v/>
      </c>
      <c r="AN168" s="32" t="str">
        <f>_xlfn.IFNA(VLOOKUP(Table2[[#This Row],[Name]],'Turkey Shoot - players'!$A$2:$B$65,2,FALSE),"")</f>
        <v/>
      </c>
      <c r="AO168" s="59" t="str">
        <f>IF(Table2[[#This Row],[tee time7]]&lt;&gt;"",COUNTIF('Turkey Shoot - players'!$B$2:$B$65,"="&amp;Table2[[#This Row],[tee time7]]),"")</f>
        <v/>
      </c>
      <c r="AP168" s="59" t="str">
        <f>_xlfn.IFNA(VLOOKUP(Table2[[#This Row],[tee time7]],'Stableford - groups'!$A$3:$F$20,6,FALSE),"")</f>
        <v/>
      </c>
      <c r="AQ168" s="11" t="str">
        <f>_xlfn.IFNA(VLOOKUP(Table2[[#This Row],[tee time7]],'Turkey Shoot - groups'!$A$3:$F$20,4,FALSE),"")</f>
        <v/>
      </c>
      <c r="AR168" s="13" t="str">
        <f>_xlfn.IFNA(VLOOKUP(Table2[[#This Row],[tee time7]],'Turkey Shoot - groups'!$A$3:$F$20,5,FALSE),"")</f>
        <v/>
      </c>
      <c r="AS168" s="68" t="str">
        <f>IF(AND(Table2[[#This Row],[gap7]]="NA",Table2[[#This Row],[round7]]&lt;4/24),0,IFERROR((MAX(starting_interval,IF(Table2[[#This Row],[gap7]]="NA",Table2[[#This Row],[avg gap]],Table2[[#This Row],[gap7]]))-starting_interval)*Table2[[#This Row],[followers7]]/Table2[[#This Row],[group size7]],""))</f>
        <v/>
      </c>
      <c r="AT168" s="72">
        <f>COUNT(Table2[[#This Row],[Tee time1]],Table2[[#This Row],[tee time2]],Table2[[#This Row],[tee time3]],Table2[[#This Row],[tee time4]],Table2[[#This Row],[tee time5]],Table2[[#This Row],[tee time6]],Table2[[#This Row],[tee time7]])</f>
        <v>0</v>
      </c>
      <c r="AU168" s="4" t="str">
        <f>IFERROR(AVERAGE(Table2[[#This Row],[Tee time1]],Table2[[#This Row],[tee time2]],Table2[[#This Row],[tee time3]],Table2[[#This Row],[tee time4]],Table2[[#This Row],[tee time5]],Table2[[#This Row],[tee time6]],Table2[[#This Row],[tee time7]]),"")</f>
        <v/>
      </c>
      <c r="AV168" s="11" t="str">
        <f>IFERROR(MEDIAN(Table2[[#This Row],[round1]],Table2[[#This Row],[Round2]],Table2[[#This Row],[round3]],Table2[[#This Row],[round4]],Table2[[#This Row],[round5]],Table2[[#This Row],[round6]],Table2[[#This Row],[round7]]),"")</f>
        <v/>
      </c>
      <c r="AW168" s="11" t="str">
        <f>IFERROR(AVERAGE(Table2[[#This Row],[gap1]],Table2[[#This Row],[gap2]],Table2[[#This Row],[gap3]],Table2[[#This Row],[gap4]],Table2[[#This Row],[gap5]],Table2[[#This Row],[gap6]],Table2[[#This Row],[gap7]]),"")</f>
        <v/>
      </c>
      <c r="AX168" s="9" t="str">
        <f>IFERROR((Table2[[#This Row],[avg gap]]-starting_interval)*24*60*Table2[[#This Row],[Count]],"NA")</f>
        <v>NA</v>
      </c>
      <c r="AY168"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68" s="2"/>
    </row>
    <row r="169" spans="1:52" hidden="1" x14ac:dyDescent="0.3">
      <c r="A169" s="10" t="s">
        <v>81</v>
      </c>
      <c r="B169" s="1" t="s">
        <v>320</v>
      </c>
      <c r="C169" s="19">
        <v>11.2</v>
      </c>
      <c r="D169" s="32" t="str">
        <f>_xlfn.IFNA(VLOOKUP(Table2[[#This Row],[Name]],'Classic day 1 - players'!$A$2:$B$64,2,FALSE),"")</f>
        <v/>
      </c>
      <c r="E169" s="33" t="str">
        <f>IF(Table2[[#This Row],[Tee time1]]&lt;&gt;"",COUNTIF('Classic day 1 - players'!$B$2:$B$64,"="&amp;Table2[[#This Row],[Tee time1]]),"")</f>
        <v/>
      </c>
      <c r="F169" s="4" t="str">
        <f>_xlfn.IFNA(VLOOKUP(Table2[[#This Row],[Tee time1]],'Classic day 1 - groups'!$A$3:$F$20,6,FALSE),"")</f>
        <v/>
      </c>
      <c r="G169" s="11" t="str">
        <f>_xlfn.IFNA(VLOOKUP(Table2[[#This Row],[Tee time1]],'Classic day 1 - groups'!$A$3:$F$20,4,FALSE),"")</f>
        <v/>
      </c>
      <c r="H169" s="12" t="str">
        <f>_xlfn.IFNA(VLOOKUP(Table2[[#This Row],[Tee time1]],'Classic day 1 - groups'!$A$3:$F$20,5,FALSE),"")</f>
        <v/>
      </c>
      <c r="I169" s="69" t="str">
        <f>IFERROR((MAX(starting_interval,IF(Table2[[#This Row],[gap1]]="NA",Table2[[#This Row],[avg gap]],Table2[[#This Row],[gap1]]))-starting_interval)*Table2[[#This Row],[followers1]]/Table2[[#This Row],[group size]],"")</f>
        <v/>
      </c>
      <c r="J169" s="32" t="str">
        <f>_xlfn.IFNA(VLOOKUP(Table2[[#This Row],[Name]],'Classic day 2 - players'!$A$2:$B$64,2,FALSE),"")</f>
        <v/>
      </c>
      <c r="K169" s="4" t="str">
        <f>IF(Table2[[#This Row],[tee time2]]&lt;&gt;"",COUNTIF('Classic day 2 - players'!$B$2:$B$64,"="&amp;Table2[[#This Row],[tee time2]]),"")</f>
        <v/>
      </c>
      <c r="L169" s="4" t="str">
        <f>_xlfn.IFNA(VLOOKUP(Table2[[#This Row],[tee time2]],'Classic day 2 - groups'!$A$3:$F$20,6,FALSE),"")</f>
        <v/>
      </c>
      <c r="M169" s="4" t="str">
        <f>_xlfn.IFNA(VLOOKUP(Table2[[#This Row],[tee time2]],'Classic day 2 - groups'!$A$3:$F$20,4,FALSE),"")</f>
        <v/>
      </c>
      <c r="N169" s="65" t="str">
        <f>_xlfn.IFNA(VLOOKUP(Table2[[#This Row],[tee time2]],'Classic day 2 - groups'!$A$3:$F$20,5,FALSE),"")</f>
        <v/>
      </c>
      <c r="O169" s="69" t="str">
        <f>IFERROR((MAX(starting_interval,IF(Table2[[#This Row],[gap2]]="NA",Table2[[#This Row],[avg gap]],Table2[[#This Row],[gap2]]))-starting_interval)*Table2[[#This Row],[followers2]]/Table2[[#This Row],[group size2]],"")</f>
        <v/>
      </c>
      <c r="P169" s="32" t="str">
        <f>_xlfn.IFNA(VLOOKUP(Table2[[#This Row],[Name]],'Summer FD - players'!$A$2:$B$65,2,FALSE),"")</f>
        <v/>
      </c>
      <c r="Q169" s="59" t="str">
        <f>IF(Table2[[#This Row],[tee time3]]&lt;&gt;"",COUNTIF('Summer FD - players'!$B$2:$B$65,"="&amp;Table2[[#This Row],[tee time3]]),"")</f>
        <v/>
      </c>
      <c r="R169" s="59" t="str">
        <f>_xlfn.IFNA(VLOOKUP(Table2[[#This Row],[tee time3]],'Summer FD - groups'!$A$3:$F$20,6,FALSE),"")</f>
        <v/>
      </c>
      <c r="S169" s="4" t="str">
        <f>_xlfn.IFNA(VLOOKUP(Table2[[#This Row],[tee time3]],'Summer FD - groups'!$A$3:$F$20,4,FALSE),"")</f>
        <v/>
      </c>
      <c r="T169" s="13" t="str">
        <f>_xlfn.IFNA(VLOOKUP(Table2[[#This Row],[tee time3]],'Summer FD - groups'!$A$3:$F$20,5,FALSE),"")</f>
        <v/>
      </c>
      <c r="U169" s="69" t="str">
        <f>IF(Table2[[#This Row],[avg gap]]&lt;&gt;"",IFERROR((MAX(starting_interval,IF(Table2[[#This Row],[gap3]]="NA",Table2[[#This Row],[avg gap]],Table2[[#This Row],[gap3]]))-starting_interval)*Table2[[#This Row],[followers3]]/Table2[[#This Row],[group size3]],""),"")</f>
        <v/>
      </c>
      <c r="V169" s="32" t="str">
        <f>_xlfn.IFNA(VLOOKUP(Table2[[#This Row],[Name]],'6-6-6 - players'!$A$2:$B$69,2,FALSE),"")</f>
        <v/>
      </c>
      <c r="W169" s="59" t="str">
        <f>IF(Table2[[#This Row],[tee time4]]&lt;&gt;"",COUNTIF('6-6-6 - players'!$B$2:$B$69,"="&amp;Table2[[#This Row],[tee time4]]),"")</f>
        <v/>
      </c>
      <c r="X169" s="59" t="str">
        <f>_xlfn.IFNA(VLOOKUP(Table2[[#This Row],[tee time4]],'6-6-6 - groups'!$A$3:$F$20,6,FALSE),"")</f>
        <v/>
      </c>
      <c r="Y169" s="4" t="str">
        <f>_xlfn.IFNA(VLOOKUP(Table2[[#This Row],[tee time4]],'6-6-6 - groups'!$A$3:$F$20,4,FALSE),"")</f>
        <v/>
      </c>
      <c r="Z169" s="13" t="str">
        <f>_xlfn.IFNA(VLOOKUP(Table2[[#This Row],[tee time4]],'6-6-6 - groups'!$A$3:$F$20,5,FALSE),"")</f>
        <v/>
      </c>
      <c r="AA169" s="69" t="str">
        <f>IF(Table2[[#This Row],[avg gap]]&lt;&gt;"",IFERROR((MAX(starting_interval,IF(Table2[[#This Row],[gap4]]="NA",Table2[[#This Row],[avg gap]],Table2[[#This Row],[gap4]]))-starting_interval)*Table2[[#This Row],[followers4]]/Table2[[#This Row],[group size4]],""),"")</f>
        <v/>
      </c>
      <c r="AB169" s="32" t="str">
        <f>_xlfn.IFNA(VLOOKUP(Table2[[#This Row],[Name]],'Fall FD - players'!$A$2:$B$65,2,FALSE),"")</f>
        <v/>
      </c>
      <c r="AC169" s="59" t="str">
        <f>IF(Table2[[#This Row],[tee time5]]&lt;&gt;"",COUNTIF('Fall FD - players'!$B$2:$B$65,"="&amp;Table2[[#This Row],[tee time5]]),"")</f>
        <v/>
      </c>
      <c r="AD169" s="59" t="str">
        <f>_xlfn.IFNA(VLOOKUP(Table2[[#This Row],[tee time5]],'Fall FD - groups'!$A$3:$F$20,6,FALSE),"")</f>
        <v/>
      </c>
      <c r="AE169" s="4" t="str">
        <f>_xlfn.IFNA(VLOOKUP(Table2[[#This Row],[tee time5]],'Fall FD - groups'!$A$3:$F$20,4,FALSE),"")</f>
        <v/>
      </c>
      <c r="AF169" s="13" t="str">
        <f>IFERROR(MIN(_xlfn.IFNA(VLOOKUP(Table2[[#This Row],[tee time5]],'Fall FD - groups'!$A$3:$F$20,5,FALSE),""),starting_interval + Table2[[#This Row],[round5]] - standard_round_time),"")</f>
        <v/>
      </c>
      <c r="AG169" s="69" t="str">
        <f>IF(AND(Table2[[#This Row],[gap5]]="NA",Table2[[#This Row],[round5]]&lt;4/24),0,IFERROR((MAX(starting_interval,IF(Table2[[#This Row],[gap5]]="NA",Table2[[#This Row],[avg gap]],Table2[[#This Row],[gap5]]))-starting_interval)*Table2[[#This Row],[followers5]]/Table2[[#This Row],[group size5]],""))</f>
        <v/>
      </c>
      <c r="AH169" s="32" t="str">
        <f>_xlfn.IFNA(VLOOKUP(Table2[[#This Row],[Name]],'Stableford - players'!$A$2:$B$65,2,FALSE),"")</f>
        <v/>
      </c>
      <c r="AI169" s="59" t="str">
        <f>IF(Table2[[#This Row],[tee time6]]&lt;&gt;"",COUNTIF('Stableford - players'!$B$2:$B$65,"="&amp;Table2[[#This Row],[tee time6]]),"")</f>
        <v/>
      </c>
      <c r="AJ169" s="59" t="str">
        <f>_xlfn.IFNA(VLOOKUP(Table2[[#This Row],[tee time6]],'Stableford - groups'!$A$3:$F$20,6,FALSE),"")</f>
        <v/>
      </c>
      <c r="AK169" s="11" t="str">
        <f>_xlfn.IFNA(VLOOKUP(Table2[[#This Row],[tee time6]],'Stableford - groups'!$A$3:$F$20,4,FALSE),"")</f>
        <v/>
      </c>
      <c r="AL169" s="13" t="str">
        <f>_xlfn.IFNA(VLOOKUP(Table2[[#This Row],[tee time6]],'Stableford - groups'!$A$3:$F$20,5,FALSE),"")</f>
        <v/>
      </c>
      <c r="AM169" s="68" t="str">
        <f>IF(AND(Table2[[#This Row],[gap6]]="NA",Table2[[#This Row],[round6]]&lt;4/24),0,IFERROR((MAX(starting_interval,IF(Table2[[#This Row],[gap6]]="NA",Table2[[#This Row],[avg gap]],Table2[[#This Row],[gap6]]))-starting_interval)*Table2[[#This Row],[followers6]]/Table2[[#This Row],[group size6]],""))</f>
        <v/>
      </c>
      <c r="AN169" s="32" t="str">
        <f>_xlfn.IFNA(VLOOKUP(Table2[[#This Row],[Name]],'Turkey Shoot - players'!$A$2:$B$65,2,FALSE),"")</f>
        <v/>
      </c>
      <c r="AO169" s="59" t="str">
        <f>IF(Table2[[#This Row],[tee time7]]&lt;&gt;"",COUNTIF('Turkey Shoot - players'!$B$2:$B$65,"="&amp;Table2[[#This Row],[tee time7]]),"")</f>
        <v/>
      </c>
      <c r="AP169" s="59" t="str">
        <f>_xlfn.IFNA(VLOOKUP(Table2[[#This Row],[tee time7]],'Stableford - groups'!$A$3:$F$20,6,FALSE),"")</f>
        <v/>
      </c>
      <c r="AQ169" s="11" t="str">
        <f>_xlfn.IFNA(VLOOKUP(Table2[[#This Row],[tee time7]],'Turkey Shoot - groups'!$A$3:$F$20,4,FALSE),"")</f>
        <v/>
      </c>
      <c r="AR169" s="13" t="str">
        <f>_xlfn.IFNA(VLOOKUP(Table2[[#This Row],[tee time7]],'Turkey Shoot - groups'!$A$3:$F$20,5,FALSE),"")</f>
        <v/>
      </c>
      <c r="AS169" s="68" t="str">
        <f>IF(AND(Table2[[#This Row],[gap7]]="NA",Table2[[#This Row],[round7]]&lt;4/24),0,IFERROR((MAX(starting_interval,IF(Table2[[#This Row],[gap7]]="NA",Table2[[#This Row],[avg gap]],Table2[[#This Row],[gap7]]))-starting_interval)*Table2[[#This Row],[followers7]]/Table2[[#This Row],[group size7]],""))</f>
        <v/>
      </c>
      <c r="AT169" s="72">
        <f>COUNT(Table2[[#This Row],[Tee time1]],Table2[[#This Row],[tee time2]],Table2[[#This Row],[tee time3]],Table2[[#This Row],[tee time4]],Table2[[#This Row],[tee time5]],Table2[[#This Row],[tee time6]],Table2[[#This Row],[tee time7]])</f>
        <v>0</v>
      </c>
      <c r="AU169" s="4" t="str">
        <f>IFERROR(AVERAGE(Table2[[#This Row],[Tee time1]],Table2[[#This Row],[tee time2]],Table2[[#This Row],[tee time3]],Table2[[#This Row],[tee time4]],Table2[[#This Row],[tee time5]],Table2[[#This Row],[tee time6]],Table2[[#This Row],[tee time7]]),"")</f>
        <v/>
      </c>
      <c r="AV169" s="11" t="str">
        <f>IFERROR(MEDIAN(Table2[[#This Row],[round1]],Table2[[#This Row],[Round2]],Table2[[#This Row],[round3]],Table2[[#This Row],[round4]],Table2[[#This Row],[round5]],Table2[[#This Row],[round6]],Table2[[#This Row],[round7]]),"")</f>
        <v/>
      </c>
      <c r="AW169" s="11" t="str">
        <f>IFERROR(AVERAGE(Table2[[#This Row],[gap1]],Table2[[#This Row],[gap2]],Table2[[#This Row],[gap3]],Table2[[#This Row],[gap4]],Table2[[#This Row],[gap5]],Table2[[#This Row],[gap6]],Table2[[#This Row],[gap7]]),"")</f>
        <v/>
      </c>
      <c r="AX169" s="9" t="str">
        <f>IFERROR((Table2[[#This Row],[avg gap]]-starting_interval)*24*60*Table2[[#This Row],[Count]],"NA")</f>
        <v>NA</v>
      </c>
      <c r="AY169"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69" s="2"/>
    </row>
    <row r="170" spans="1:52" x14ac:dyDescent="0.3">
      <c r="A170" s="10" t="s">
        <v>89</v>
      </c>
      <c r="B170" s="1" t="s">
        <v>328</v>
      </c>
      <c r="C170" s="19">
        <v>17.7</v>
      </c>
      <c r="D170" s="32" t="str">
        <f>_xlfn.IFNA(VLOOKUP(Table2[[#This Row],[Name]],'Classic day 1 - players'!$A$2:$B$64,2,FALSE),"")</f>
        <v/>
      </c>
      <c r="E170" s="33" t="str">
        <f>IF(Table2[[#This Row],[Tee time1]]&lt;&gt;"",COUNTIF('Classic day 1 - players'!$B$2:$B$64,"="&amp;Table2[[#This Row],[Tee time1]]),"")</f>
        <v/>
      </c>
      <c r="F170" s="33" t="str">
        <f>_xlfn.IFNA(VLOOKUP(Table2[[#This Row],[Tee time1]],'Classic day 1 - groups'!$A$3:$F$20,6,FALSE),"")</f>
        <v/>
      </c>
      <c r="G170" s="11" t="str">
        <f>_xlfn.IFNA(VLOOKUP(Table2[[#This Row],[Tee time1]],'Classic day 1 - groups'!$A$3:$F$20,4,FALSE),"")</f>
        <v/>
      </c>
      <c r="H170" s="12" t="str">
        <f>_xlfn.IFNA(VLOOKUP(Table2[[#This Row],[Tee time1]],'Classic day 1 - groups'!$A$3:$F$20,5,FALSE),"")</f>
        <v/>
      </c>
      <c r="I170" s="69" t="str">
        <f>IFERROR((MAX(starting_interval,IF(Table2[[#This Row],[gap1]]="NA",Table2[[#This Row],[avg gap]],Table2[[#This Row],[gap1]]))-starting_interval)*Table2[[#This Row],[followers1]]/Table2[[#This Row],[group size]],"")</f>
        <v/>
      </c>
      <c r="J170" s="32" t="str">
        <f>_xlfn.IFNA(VLOOKUP(Table2[[#This Row],[Name]],'Classic day 2 - players'!$A$2:$B$64,2,FALSE),"")</f>
        <v/>
      </c>
      <c r="K170" s="33" t="str">
        <f>IF(Table2[[#This Row],[tee time2]]&lt;&gt;"",COUNTIF('Classic day 2 - players'!$B$2:$B$64,"="&amp;Table2[[#This Row],[tee time2]]),"")</f>
        <v/>
      </c>
      <c r="L170" s="33" t="str">
        <f>_xlfn.IFNA(VLOOKUP(Table2[[#This Row],[tee time2]],'Classic day 2 - groups'!$A$3:$F$20,6,FALSE),"")</f>
        <v/>
      </c>
      <c r="M170" s="4" t="str">
        <f>_xlfn.IFNA(VLOOKUP(Table2[[#This Row],[tee time2]],'Classic day 2 - groups'!$A$3:$F$20,4,FALSE),"")</f>
        <v/>
      </c>
      <c r="N170" s="65" t="str">
        <f>_xlfn.IFNA(VLOOKUP(Table2[[#This Row],[tee time2]],'Classic day 2 - groups'!$A$3:$F$20,5,FALSE),"")</f>
        <v/>
      </c>
      <c r="O170" s="69" t="str">
        <f>IFERROR((MAX(starting_interval,IF(Table2[[#This Row],[gap2]]="NA",Table2[[#This Row],[avg gap]],Table2[[#This Row],[gap2]]))-starting_interval)*Table2[[#This Row],[followers2]]/Table2[[#This Row],[group size2]],"")</f>
        <v/>
      </c>
      <c r="P170" s="32">
        <f>_xlfn.IFNA(VLOOKUP(Table2[[#This Row],[Name]],'Summer FD - players'!$A$2:$B$65,2,FALSE),"")</f>
        <v>0.41250000000000003</v>
      </c>
      <c r="Q170" s="59">
        <f>IF(Table2[[#This Row],[tee time3]]&lt;&gt;"",COUNTIF('Summer FD - players'!$B$2:$B$65,"="&amp;Table2[[#This Row],[tee time3]]),"")</f>
        <v>4</v>
      </c>
      <c r="R170" s="59">
        <f>_xlfn.IFNA(VLOOKUP(Table2[[#This Row],[tee time3]],'Summer FD - groups'!$A$3:$F$20,6,FALSE),"")</f>
        <v>16</v>
      </c>
      <c r="S170" s="4">
        <f>_xlfn.IFNA(VLOOKUP(Table2[[#This Row],[tee time3]],'Summer FD - groups'!$A$3:$F$20,4,FALSE),"")</f>
        <v>0.19583333333333341</v>
      </c>
      <c r="T170" s="13">
        <f>_xlfn.IFNA(VLOOKUP(Table2[[#This Row],[tee time3]],'Summer FD - groups'!$A$3:$F$20,5,FALSE),"")</f>
        <v>4.1666666666667629E-3</v>
      </c>
      <c r="U170" s="69">
        <f>IF(Table2[[#This Row],[avg gap]]&lt;&gt;"",IFERROR((MAX(starting_interval,IF(Table2[[#This Row],[gap3]]="NA",Table2[[#This Row],[avg gap]],Table2[[#This Row],[gap3]]))-starting_interval)*Table2[[#This Row],[followers3]]/Table2[[#This Row],[group size3]],""),"")</f>
        <v>0</v>
      </c>
      <c r="V170" s="32">
        <f>_xlfn.IFNA(VLOOKUP(Table2[[#This Row],[Name]],'6-6-6 - players'!$A$2:$B$69,2,FALSE),"")</f>
        <v>0.4236111111111111</v>
      </c>
      <c r="W170" s="59">
        <f>IF(Table2[[#This Row],[tee time4]]&lt;&gt;"",COUNTIF('6-6-6 - players'!$B$2:$B$69,"="&amp;Table2[[#This Row],[tee time4]]),"")</f>
        <v>4</v>
      </c>
      <c r="X170" s="59">
        <f>_xlfn.IFNA(VLOOKUP(Table2[[#This Row],[tee time4]],'6-6-6 - groups'!$A$3:$F$20,6,FALSE),"")</f>
        <v>16</v>
      </c>
      <c r="Y170" s="4">
        <f>_xlfn.IFNA(VLOOKUP(Table2[[#This Row],[tee time4]],'6-6-6 - groups'!$A$3:$F$20,4,FALSE),"")</f>
        <v>0.17638888888888887</v>
      </c>
      <c r="Z170" s="13">
        <f>_xlfn.IFNA(VLOOKUP(Table2[[#This Row],[tee time4]],'6-6-6 - groups'!$A$3:$F$20,5,FALSE),"")</f>
        <v>6.2499999999999778E-3</v>
      </c>
      <c r="AA170" s="69">
        <f>IF(Table2[[#This Row],[avg gap]]&lt;&gt;"",IFERROR((MAX(starting_interval,IF(Table2[[#This Row],[gap4]]="NA",Table2[[#This Row],[avg gap]],Table2[[#This Row],[gap4]]))-starting_interval)*Table2[[#This Row],[followers4]]/Table2[[#This Row],[group size4]],""),"")</f>
        <v>0</v>
      </c>
      <c r="AB170" s="32">
        <f>_xlfn.IFNA(VLOOKUP(Table2[[#This Row],[Name]],'Fall FD - players'!$A$2:$B$65,2,FALSE),"")</f>
        <v>0.44166666666666665</v>
      </c>
      <c r="AC170" s="59">
        <f>IF(Table2[[#This Row],[tee time5]]&lt;&gt;"",COUNTIF('Fall FD - players'!$B$2:$B$65,"="&amp;Table2[[#This Row],[tee time5]]),"")</f>
        <v>4</v>
      </c>
      <c r="AD170" s="59">
        <f>_xlfn.IFNA(VLOOKUP(Table2[[#This Row],[tee time5]],'Fall FD - groups'!$A$3:$F$20,6,FALSE),"")</f>
        <v>8</v>
      </c>
      <c r="AE170" s="4">
        <f>_xlfn.IFNA(VLOOKUP(Table2[[#This Row],[tee time5]],'Fall FD - groups'!$A$3:$F$20,4,FALSE),"")</f>
        <v>0.17499999999999999</v>
      </c>
      <c r="AF170" s="13">
        <f>IFERROR(MIN(_xlfn.IFNA(VLOOKUP(Table2[[#This Row],[tee time5]],'Fall FD - groups'!$A$3:$F$20,5,FALSE),""),starting_interval + Table2[[#This Row],[round5]] - standard_round_time),"")</f>
        <v>6.2500000000000888E-3</v>
      </c>
      <c r="AG170" s="69">
        <f>IF(AND(Table2[[#This Row],[gap5]]="NA",Table2[[#This Row],[round5]]&lt;4/24),0,IFERROR((MAX(starting_interval,IF(Table2[[#This Row],[gap5]]="NA",Table2[[#This Row],[avg gap]],Table2[[#This Row],[gap5]]))-starting_interval)*Table2[[#This Row],[followers5]]/Table2[[#This Row],[group size5]],""))</f>
        <v>0</v>
      </c>
      <c r="AH170" s="32">
        <f>_xlfn.IFNA(VLOOKUP(Table2[[#This Row],[Name]],'Stableford - players'!$A$2:$B$65,2,FALSE),"")</f>
        <v>0.40277777777777773</v>
      </c>
      <c r="AI170" s="59">
        <f>IF(Table2[[#This Row],[tee time6]]&lt;&gt;"",COUNTIF('Stableford - players'!$B$2:$B$65,"="&amp;Table2[[#This Row],[tee time6]]),"")</f>
        <v>4</v>
      </c>
      <c r="AJ170" s="59">
        <f>_xlfn.IFNA(VLOOKUP(Table2[[#This Row],[tee time6]],'Stableford - groups'!$A$3:$F$20,6,FALSE),"")</f>
        <v>20</v>
      </c>
      <c r="AK170" s="11">
        <f>_xlfn.IFNA(VLOOKUP(Table2[[#This Row],[tee time6]],'Stableford - groups'!$A$3:$F$20,4,FALSE),"")</f>
        <v>0.17152777777777778</v>
      </c>
      <c r="AL170" s="13">
        <f>_xlfn.IFNA(VLOOKUP(Table2[[#This Row],[tee time6]],'Stableford - groups'!$A$3:$F$20,5,FALSE),"")</f>
        <v>6.2499999999999778E-3</v>
      </c>
      <c r="AM170" s="68">
        <f>IF(AND(Table2[[#This Row],[gap6]]="NA",Table2[[#This Row],[round6]]&lt;4/24),0,IFERROR((MAX(starting_interval,IF(Table2[[#This Row],[gap6]]="NA",Table2[[#This Row],[avg gap]],Table2[[#This Row],[gap6]]))-starting_interval)*Table2[[#This Row],[followers6]]/Table2[[#This Row],[group size6]],""))</f>
        <v>0</v>
      </c>
      <c r="AN170" s="32">
        <f>_xlfn.IFNA(VLOOKUP(Table2[[#This Row],[Name]],'Turkey Shoot - players'!$A$2:$B$65,2,FALSE),"")</f>
        <v>0.44444444444444442</v>
      </c>
      <c r="AO170" s="59">
        <f>IF(Table2[[#This Row],[tee time7]]&lt;&gt;"",COUNTIF('Turkey Shoot - players'!$B$2:$B$65,"="&amp;Table2[[#This Row],[tee time7]]),"")</f>
        <v>4</v>
      </c>
      <c r="AP170" s="59" t="str">
        <f>_xlfn.IFNA(VLOOKUP(Table2[[#This Row],[tee time7]],'Stableford - groups'!$A$3:$F$20,6,FALSE),"")</f>
        <v/>
      </c>
      <c r="AQ170" s="11">
        <f>_xlfn.IFNA(VLOOKUP(Table2[[#This Row],[tee time7]],'Turkey Shoot - groups'!$A$3:$F$20,4,FALSE),"")</f>
        <v>0.18055555555555552</v>
      </c>
      <c r="AR170" s="13">
        <f>_xlfn.IFNA(VLOOKUP(Table2[[#This Row],[tee time7]],'Turkey Shoot - groups'!$A$3:$F$20,5,FALSE),"")</f>
        <v>6.9444444444444441E-3</v>
      </c>
      <c r="AS170" s="68" t="str">
        <f>IF(AND(Table2[[#This Row],[gap7]]="NA",Table2[[#This Row],[round7]]&lt;4/24),0,IFERROR((MAX(starting_interval,IF(Table2[[#This Row],[gap7]]="NA",Table2[[#This Row],[avg gap]],Table2[[#This Row],[gap7]]))-starting_interval)*Table2[[#This Row],[followers7]]/Table2[[#This Row],[group size7]],""))</f>
        <v/>
      </c>
      <c r="AT170" s="72">
        <f>COUNT(Table2[[#This Row],[Tee time1]],Table2[[#This Row],[tee time2]],Table2[[#This Row],[tee time3]],Table2[[#This Row],[tee time4]],Table2[[#This Row],[tee time5]],Table2[[#This Row],[tee time6]],Table2[[#This Row],[tee time7]])</f>
        <v>5</v>
      </c>
      <c r="AU170" s="4">
        <f>IFERROR(AVERAGE(Table2[[#This Row],[Tee time1]],Table2[[#This Row],[tee time2]],Table2[[#This Row],[tee time3]],Table2[[#This Row],[tee time4]],Table2[[#This Row],[tee time5]],Table2[[#This Row],[tee time6]],Table2[[#This Row],[tee time7]]),"")</f>
        <v>0.42499999999999999</v>
      </c>
      <c r="AV170" s="11">
        <f>IFERROR(MEDIAN(Table2[[#This Row],[round1]],Table2[[#This Row],[Round2]],Table2[[#This Row],[round3]],Table2[[#This Row],[round4]],Table2[[#This Row],[round5]],Table2[[#This Row],[round6]],Table2[[#This Row],[round7]]),"")</f>
        <v>0.17638888888888887</v>
      </c>
      <c r="AW170" s="11">
        <f>IFERROR(AVERAGE(Table2[[#This Row],[gap1]],Table2[[#This Row],[gap2]],Table2[[#This Row],[gap3]],Table2[[#This Row],[gap4]],Table2[[#This Row],[gap5]],Table2[[#This Row],[gap6]],Table2[[#This Row],[gap7]]),"")</f>
        <v>5.9722222222222503E-3</v>
      </c>
      <c r="AX170" s="9">
        <f>IFERROR((Table2[[#This Row],[avg gap]]-starting_interval)*24*60*Table2[[#This Row],[Count]],"NA")</f>
        <v>-6.9999999999997957</v>
      </c>
      <c r="AY17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70" s="2"/>
    </row>
    <row r="171" spans="1:52" x14ac:dyDescent="0.3">
      <c r="A171" s="10" t="s">
        <v>90</v>
      </c>
      <c r="B171" s="1" t="s">
        <v>329</v>
      </c>
      <c r="C171" s="19">
        <v>11.5</v>
      </c>
      <c r="D171" s="32" t="str">
        <f>_xlfn.IFNA(VLOOKUP(Table2[[#This Row],[Name]],'Classic day 1 - players'!$A$2:$B$64,2,FALSE),"")</f>
        <v/>
      </c>
      <c r="E171" s="33" t="str">
        <f>IF(Table2[[#This Row],[Tee time1]]&lt;&gt;"",COUNTIF('Classic day 1 - players'!$B$2:$B$64,"="&amp;Table2[[#This Row],[Tee time1]]),"")</f>
        <v/>
      </c>
      <c r="F171" s="33" t="str">
        <f>_xlfn.IFNA(VLOOKUP(Table2[[#This Row],[Tee time1]],'Classic day 1 - groups'!$A$3:$F$20,6,FALSE),"")</f>
        <v/>
      </c>
      <c r="G171" s="11" t="str">
        <f>_xlfn.IFNA(VLOOKUP(Table2[[#This Row],[Tee time1]],'Classic day 1 - groups'!$A$3:$F$20,4,FALSE),"")</f>
        <v/>
      </c>
      <c r="H171" s="12" t="str">
        <f>_xlfn.IFNA(VLOOKUP(Table2[[#This Row],[Tee time1]],'Classic day 1 - groups'!$A$3:$F$20,5,FALSE),"")</f>
        <v/>
      </c>
      <c r="I171" s="69" t="str">
        <f>IFERROR((MAX(starting_interval,IF(Table2[[#This Row],[gap1]]="NA",Table2[[#This Row],[avg gap]],Table2[[#This Row],[gap1]]))-starting_interval)*Table2[[#This Row],[followers1]]/Table2[[#This Row],[group size]],"")</f>
        <v/>
      </c>
      <c r="J171" s="32" t="str">
        <f>_xlfn.IFNA(VLOOKUP(Table2[[#This Row],[Name]],'Classic day 2 - players'!$A$2:$B$64,2,FALSE),"")</f>
        <v/>
      </c>
      <c r="K171" s="33" t="str">
        <f>IF(Table2[[#This Row],[tee time2]]&lt;&gt;"",COUNTIF('Classic day 2 - players'!$B$2:$B$64,"="&amp;Table2[[#This Row],[tee time2]]),"")</f>
        <v/>
      </c>
      <c r="L171" s="33" t="str">
        <f>_xlfn.IFNA(VLOOKUP(Table2[[#This Row],[tee time2]],'Classic day 2 - groups'!$A$3:$F$20,6,FALSE),"")</f>
        <v/>
      </c>
      <c r="M171" s="4" t="str">
        <f>_xlfn.IFNA(VLOOKUP(Table2[[#This Row],[tee time2]],'Classic day 2 - groups'!$A$3:$F$20,4,FALSE),"")</f>
        <v/>
      </c>
      <c r="N171" s="65" t="str">
        <f>_xlfn.IFNA(VLOOKUP(Table2[[#This Row],[tee time2]],'Classic day 2 - groups'!$A$3:$F$20,5,FALSE),"")</f>
        <v/>
      </c>
      <c r="O171" s="69" t="str">
        <f>IFERROR((MAX(starting_interval,IF(Table2[[#This Row],[gap2]]="NA",Table2[[#This Row],[avg gap]],Table2[[#This Row],[gap2]]))-starting_interval)*Table2[[#This Row],[followers2]]/Table2[[#This Row],[group size2]],"")</f>
        <v/>
      </c>
      <c r="P171" s="32">
        <f>_xlfn.IFNA(VLOOKUP(Table2[[#This Row],[Name]],'Summer FD - players'!$A$2:$B$65,2,FALSE),"")</f>
        <v>0.41250000000000003</v>
      </c>
      <c r="Q171" s="59">
        <f>IF(Table2[[#This Row],[tee time3]]&lt;&gt;"",COUNTIF('Summer FD - players'!$B$2:$B$65,"="&amp;Table2[[#This Row],[tee time3]]),"")</f>
        <v>4</v>
      </c>
      <c r="R171" s="59">
        <f>_xlfn.IFNA(VLOOKUP(Table2[[#This Row],[tee time3]],'Summer FD - groups'!$A$3:$F$20,6,FALSE),"")</f>
        <v>16</v>
      </c>
      <c r="S171" s="4">
        <f>_xlfn.IFNA(VLOOKUP(Table2[[#This Row],[tee time3]],'Summer FD - groups'!$A$3:$F$20,4,FALSE),"")</f>
        <v>0.19583333333333341</v>
      </c>
      <c r="T171" s="13">
        <f>_xlfn.IFNA(VLOOKUP(Table2[[#This Row],[tee time3]],'Summer FD - groups'!$A$3:$F$20,5,FALSE),"")</f>
        <v>4.1666666666667629E-3</v>
      </c>
      <c r="U171" s="69">
        <f>IF(Table2[[#This Row],[avg gap]]&lt;&gt;"",IFERROR((MAX(starting_interval,IF(Table2[[#This Row],[gap3]]="NA",Table2[[#This Row],[avg gap]],Table2[[#This Row],[gap3]]))-starting_interval)*Table2[[#This Row],[followers3]]/Table2[[#This Row],[group size3]],""),"")</f>
        <v>0</v>
      </c>
      <c r="V171" s="32">
        <f>_xlfn.IFNA(VLOOKUP(Table2[[#This Row],[Name]],'6-6-6 - players'!$A$2:$B$69,2,FALSE),"")</f>
        <v>0.4236111111111111</v>
      </c>
      <c r="W171" s="59">
        <f>IF(Table2[[#This Row],[tee time4]]&lt;&gt;"",COUNTIF('6-6-6 - players'!$B$2:$B$69,"="&amp;Table2[[#This Row],[tee time4]]),"")</f>
        <v>4</v>
      </c>
      <c r="X171" s="59">
        <f>_xlfn.IFNA(VLOOKUP(Table2[[#This Row],[tee time4]],'6-6-6 - groups'!$A$3:$F$20,6,FALSE),"")</f>
        <v>16</v>
      </c>
      <c r="Y171" s="4">
        <f>_xlfn.IFNA(VLOOKUP(Table2[[#This Row],[tee time4]],'6-6-6 - groups'!$A$3:$F$20,4,FALSE),"")</f>
        <v>0.17638888888888887</v>
      </c>
      <c r="Z171" s="13">
        <f>_xlfn.IFNA(VLOOKUP(Table2[[#This Row],[tee time4]],'6-6-6 - groups'!$A$3:$F$20,5,FALSE),"")</f>
        <v>6.2499999999999778E-3</v>
      </c>
      <c r="AA171" s="69">
        <f>IF(Table2[[#This Row],[avg gap]]&lt;&gt;"",IFERROR((MAX(starting_interval,IF(Table2[[#This Row],[gap4]]="NA",Table2[[#This Row],[avg gap]],Table2[[#This Row],[gap4]]))-starting_interval)*Table2[[#This Row],[followers4]]/Table2[[#This Row],[group size4]],""),"")</f>
        <v>0</v>
      </c>
      <c r="AB171" s="32">
        <f>_xlfn.IFNA(VLOOKUP(Table2[[#This Row],[Name]],'Fall FD - players'!$A$2:$B$65,2,FALSE),"")</f>
        <v>0.44166666666666665</v>
      </c>
      <c r="AC171" s="59">
        <f>IF(Table2[[#This Row],[tee time5]]&lt;&gt;"",COUNTIF('Fall FD - players'!$B$2:$B$65,"="&amp;Table2[[#This Row],[tee time5]]),"")</f>
        <v>4</v>
      </c>
      <c r="AD171" s="59">
        <f>_xlfn.IFNA(VLOOKUP(Table2[[#This Row],[tee time5]],'Fall FD - groups'!$A$3:$F$20,6,FALSE),"")</f>
        <v>8</v>
      </c>
      <c r="AE171" s="4">
        <f>_xlfn.IFNA(VLOOKUP(Table2[[#This Row],[tee time5]],'Fall FD - groups'!$A$3:$F$20,4,FALSE),"")</f>
        <v>0.17499999999999999</v>
      </c>
      <c r="AF171" s="13">
        <f>IFERROR(MIN(_xlfn.IFNA(VLOOKUP(Table2[[#This Row],[tee time5]],'Fall FD - groups'!$A$3:$F$20,5,FALSE),""),starting_interval + Table2[[#This Row],[round5]] - standard_round_time),"")</f>
        <v>6.2500000000000888E-3</v>
      </c>
      <c r="AG171" s="69">
        <f>IF(AND(Table2[[#This Row],[gap5]]="NA",Table2[[#This Row],[round5]]&lt;4/24),0,IFERROR((MAX(starting_interval,IF(Table2[[#This Row],[gap5]]="NA",Table2[[#This Row],[avg gap]],Table2[[#This Row],[gap5]]))-starting_interval)*Table2[[#This Row],[followers5]]/Table2[[#This Row],[group size5]],""))</f>
        <v>0</v>
      </c>
      <c r="AH171" s="32">
        <f>_xlfn.IFNA(VLOOKUP(Table2[[#This Row],[Name]],'Stableford - players'!$A$2:$B$65,2,FALSE),"")</f>
        <v>0.40277777777777773</v>
      </c>
      <c r="AI171" s="59">
        <f>IF(Table2[[#This Row],[tee time6]]&lt;&gt;"",COUNTIF('Stableford - players'!$B$2:$B$65,"="&amp;Table2[[#This Row],[tee time6]]),"")</f>
        <v>4</v>
      </c>
      <c r="AJ171" s="59">
        <f>_xlfn.IFNA(VLOOKUP(Table2[[#This Row],[tee time6]],'Stableford - groups'!$A$3:$F$20,6,FALSE),"")</f>
        <v>20</v>
      </c>
      <c r="AK171" s="11">
        <f>_xlfn.IFNA(VLOOKUP(Table2[[#This Row],[tee time6]],'Stableford - groups'!$A$3:$F$20,4,FALSE),"")</f>
        <v>0.17152777777777778</v>
      </c>
      <c r="AL171" s="13">
        <f>_xlfn.IFNA(VLOOKUP(Table2[[#This Row],[tee time6]],'Stableford - groups'!$A$3:$F$20,5,FALSE),"")</f>
        <v>6.2499999999999778E-3</v>
      </c>
      <c r="AM171" s="68">
        <f>IF(AND(Table2[[#This Row],[gap6]]="NA",Table2[[#This Row],[round6]]&lt;4/24),0,IFERROR((MAX(starting_interval,IF(Table2[[#This Row],[gap6]]="NA",Table2[[#This Row],[avg gap]],Table2[[#This Row],[gap6]]))-starting_interval)*Table2[[#This Row],[followers6]]/Table2[[#This Row],[group size6]],""))</f>
        <v>0</v>
      </c>
      <c r="AN171" s="32">
        <f>_xlfn.IFNA(VLOOKUP(Table2[[#This Row],[Name]],'Turkey Shoot - players'!$A$2:$B$65,2,FALSE),"")</f>
        <v>0.44444444444444442</v>
      </c>
      <c r="AO171" s="59">
        <f>IF(Table2[[#This Row],[tee time7]]&lt;&gt;"",COUNTIF('Turkey Shoot - players'!$B$2:$B$65,"="&amp;Table2[[#This Row],[tee time7]]),"")</f>
        <v>4</v>
      </c>
      <c r="AP171" s="59" t="str">
        <f>_xlfn.IFNA(VLOOKUP(Table2[[#This Row],[tee time7]],'Stableford - groups'!$A$3:$F$20,6,FALSE),"")</f>
        <v/>
      </c>
      <c r="AQ171" s="11">
        <f>_xlfn.IFNA(VLOOKUP(Table2[[#This Row],[tee time7]],'Turkey Shoot - groups'!$A$3:$F$20,4,FALSE),"")</f>
        <v>0.18055555555555552</v>
      </c>
      <c r="AR171" s="13">
        <f>_xlfn.IFNA(VLOOKUP(Table2[[#This Row],[tee time7]],'Turkey Shoot - groups'!$A$3:$F$20,5,FALSE),"")</f>
        <v>6.9444444444444441E-3</v>
      </c>
      <c r="AS171" s="68" t="str">
        <f>IF(AND(Table2[[#This Row],[gap7]]="NA",Table2[[#This Row],[round7]]&lt;4/24),0,IFERROR((MAX(starting_interval,IF(Table2[[#This Row],[gap7]]="NA",Table2[[#This Row],[avg gap]],Table2[[#This Row],[gap7]]))-starting_interval)*Table2[[#This Row],[followers7]]/Table2[[#This Row],[group size7]],""))</f>
        <v/>
      </c>
      <c r="AT171" s="72">
        <f>COUNT(Table2[[#This Row],[Tee time1]],Table2[[#This Row],[tee time2]],Table2[[#This Row],[tee time3]],Table2[[#This Row],[tee time4]],Table2[[#This Row],[tee time5]],Table2[[#This Row],[tee time6]],Table2[[#This Row],[tee time7]])</f>
        <v>5</v>
      </c>
      <c r="AU171" s="4">
        <f>IFERROR(AVERAGE(Table2[[#This Row],[Tee time1]],Table2[[#This Row],[tee time2]],Table2[[#This Row],[tee time3]],Table2[[#This Row],[tee time4]],Table2[[#This Row],[tee time5]],Table2[[#This Row],[tee time6]],Table2[[#This Row],[tee time7]]),"")</f>
        <v>0.42499999999999999</v>
      </c>
      <c r="AV171" s="11">
        <f>IFERROR(MEDIAN(Table2[[#This Row],[round1]],Table2[[#This Row],[Round2]],Table2[[#This Row],[round3]],Table2[[#This Row],[round4]],Table2[[#This Row],[round5]],Table2[[#This Row],[round6]],Table2[[#This Row],[round7]]),"")</f>
        <v>0.17638888888888887</v>
      </c>
      <c r="AW171" s="11">
        <f>IFERROR(AVERAGE(Table2[[#This Row],[gap1]],Table2[[#This Row],[gap2]],Table2[[#This Row],[gap3]],Table2[[#This Row],[gap4]],Table2[[#This Row],[gap5]],Table2[[#This Row],[gap6]],Table2[[#This Row],[gap7]]),"")</f>
        <v>5.9722222222222503E-3</v>
      </c>
      <c r="AX171" s="9">
        <f>IFERROR((Table2[[#This Row],[avg gap]]-starting_interval)*24*60*Table2[[#This Row],[Count]],"NA")</f>
        <v>-6.9999999999997957</v>
      </c>
      <c r="AY171"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71" s="2"/>
    </row>
    <row r="172" spans="1:52" hidden="1" x14ac:dyDescent="0.3">
      <c r="A172" s="10" t="s">
        <v>87</v>
      </c>
      <c r="B172" s="1" t="s">
        <v>326</v>
      </c>
      <c r="C172" s="19">
        <v>15.7</v>
      </c>
      <c r="D172" s="32" t="str">
        <f>_xlfn.IFNA(VLOOKUP(Table2[[#This Row],[Name]],'Classic day 1 - players'!$A$2:$B$64,2,FALSE),"")</f>
        <v/>
      </c>
      <c r="E172" s="33" t="str">
        <f>IF(Table2[[#This Row],[Tee time1]]&lt;&gt;"",COUNTIF('Classic day 1 - players'!$B$2:$B$64,"="&amp;Table2[[#This Row],[Tee time1]]),"")</f>
        <v/>
      </c>
      <c r="F172" s="4" t="str">
        <f>_xlfn.IFNA(VLOOKUP(Table2[[#This Row],[Tee time1]],'Classic day 1 - groups'!$A$3:$F$20,6,FALSE),"")</f>
        <v/>
      </c>
      <c r="G172" s="11" t="str">
        <f>_xlfn.IFNA(VLOOKUP(Table2[[#This Row],[Tee time1]],'Classic day 1 - groups'!$A$3:$F$20,4,FALSE),"")</f>
        <v/>
      </c>
      <c r="H172" s="12" t="str">
        <f>_xlfn.IFNA(VLOOKUP(Table2[[#This Row],[Tee time1]],'Classic day 1 - groups'!$A$3:$F$20,5,FALSE),"")</f>
        <v/>
      </c>
      <c r="I172" s="69" t="str">
        <f>IFERROR((MAX(starting_interval,IF(Table2[[#This Row],[gap1]]="NA",Table2[[#This Row],[avg gap]],Table2[[#This Row],[gap1]]))-starting_interval)*Table2[[#This Row],[followers1]]/Table2[[#This Row],[group size]],"")</f>
        <v/>
      </c>
      <c r="J172" s="32" t="str">
        <f>_xlfn.IFNA(VLOOKUP(Table2[[#This Row],[Name]],'Classic day 2 - players'!$A$2:$B$64,2,FALSE),"")</f>
        <v/>
      </c>
      <c r="K172" s="4" t="str">
        <f>IF(Table2[[#This Row],[tee time2]]&lt;&gt;"",COUNTIF('Classic day 2 - players'!$B$2:$B$64,"="&amp;Table2[[#This Row],[tee time2]]),"")</f>
        <v/>
      </c>
      <c r="L172" s="4" t="str">
        <f>_xlfn.IFNA(VLOOKUP(Table2[[#This Row],[tee time2]],'Classic day 2 - groups'!$A$3:$F$20,6,FALSE),"")</f>
        <v/>
      </c>
      <c r="M172" s="4" t="str">
        <f>_xlfn.IFNA(VLOOKUP(Table2[[#This Row],[tee time2]],'Classic day 2 - groups'!$A$3:$F$20,4,FALSE),"")</f>
        <v/>
      </c>
      <c r="N172" s="65" t="str">
        <f>_xlfn.IFNA(VLOOKUP(Table2[[#This Row],[tee time2]],'Classic day 2 - groups'!$A$3:$F$20,5,FALSE),"")</f>
        <v/>
      </c>
      <c r="O172" s="69" t="str">
        <f>IFERROR((MAX(starting_interval,IF(Table2[[#This Row],[gap2]]="NA",Table2[[#This Row],[avg gap]],Table2[[#This Row],[gap2]]))-starting_interval)*Table2[[#This Row],[followers2]]/Table2[[#This Row],[group size2]],"")</f>
        <v/>
      </c>
      <c r="P172" s="32" t="str">
        <f>_xlfn.IFNA(VLOOKUP(Table2[[#This Row],[Name]],'Summer FD - players'!$A$2:$B$65,2,FALSE),"")</f>
        <v/>
      </c>
      <c r="Q172" s="59" t="str">
        <f>IF(Table2[[#This Row],[tee time3]]&lt;&gt;"",COUNTIF('Summer FD - players'!$B$2:$B$65,"="&amp;Table2[[#This Row],[tee time3]]),"")</f>
        <v/>
      </c>
      <c r="R172" s="59" t="str">
        <f>_xlfn.IFNA(VLOOKUP(Table2[[#This Row],[tee time3]],'Summer FD - groups'!$A$3:$F$20,6,FALSE),"")</f>
        <v/>
      </c>
      <c r="S172" s="4" t="str">
        <f>_xlfn.IFNA(VLOOKUP(Table2[[#This Row],[tee time3]],'Summer FD - groups'!$A$3:$F$20,4,FALSE),"")</f>
        <v/>
      </c>
      <c r="T172" s="13" t="str">
        <f>_xlfn.IFNA(VLOOKUP(Table2[[#This Row],[tee time3]],'Summer FD - groups'!$A$3:$F$20,5,FALSE),"")</f>
        <v/>
      </c>
      <c r="U172" s="69" t="str">
        <f>IF(Table2[[#This Row],[avg gap]]&lt;&gt;"",IFERROR((MAX(starting_interval,IF(Table2[[#This Row],[gap3]]="NA",Table2[[#This Row],[avg gap]],Table2[[#This Row],[gap3]]))-starting_interval)*Table2[[#This Row],[followers3]]/Table2[[#This Row],[group size3]],""),"")</f>
        <v/>
      </c>
      <c r="V172" s="32" t="str">
        <f>_xlfn.IFNA(VLOOKUP(Table2[[#This Row],[Name]],'6-6-6 - players'!$A$2:$B$69,2,FALSE),"")</f>
        <v/>
      </c>
      <c r="W172" s="59" t="str">
        <f>IF(Table2[[#This Row],[tee time4]]&lt;&gt;"",COUNTIF('6-6-6 - players'!$B$2:$B$69,"="&amp;Table2[[#This Row],[tee time4]]),"")</f>
        <v/>
      </c>
      <c r="X172" s="59" t="str">
        <f>_xlfn.IFNA(VLOOKUP(Table2[[#This Row],[tee time4]],'6-6-6 - groups'!$A$3:$F$20,6,FALSE),"")</f>
        <v/>
      </c>
      <c r="Y172" s="4" t="str">
        <f>_xlfn.IFNA(VLOOKUP(Table2[[#This Row],[tee time4]],'6-6-6 - groups'!$A$3:$F$20,4,FALSE),"")</f>
        <v/>
      </c>
      <c r="Z172" s="13" t="str">
        <f>_xlfn.IFNA(VLOOKUP(Table2[[#This Row],[tee time4]],'6-6-6 - groups'!$A$3:$F$20,5,FALSE),"")</f>
        <v/>
      </c>
      <c r="AA172" s="69" t="str">
        <f>IF(Table2[[#This Row],[avg gap]]&lt;&gt;"",IFERROR((MAX(starting_interval,IF(Table2[[#This Row],[gap4]]="NA",Table2[[#This Row],[avg gap]],Table2[[#This Row],[gap4]]))-starting_interval)*Table2[[#This Row],[followers4]]/Table2[[#This Row],[group size4]],""),"")</f>
        <v/>
      </c>
      <c r="AB172" s="32" t="str">
        <f>_xlfn.IFNA(VLOOKUP(Table2[[#This Row],[Name]],'Fall FD - players'!$A$2:$B$65,2,FALSE),"")</f>
        <v/>
      </c>
      <c r="AC172" s="59" t="str">
        <f>IF(Table2[[#This Row],[tee time5]]&lt;&gt;"",COUNTIF('Fall FD - players'!$B$2:$B$65,"="&amp;Table2[[#This Row],[tee time5]]),"")</f>
        <v/>
      </c>
      <c r="AD172" s="59" t="str">
        <f>_xlfn.IFNA(VLOOKUP(Table2[[#This Row],[tee time5]],'Fall FD - groups'!$A$3:$F$20,6,FALSE),"")</f>
        <v/>
      </c>
      <c r="AE172" s="4" t="str">
        <f>_xlfn.IFNA(VLOOKUP(Table2[[#This Row],[tee time5]],'Fall FD - groups'!$A$3:$F$20,4,FALSE),"")</f>
        <v/>
      </c>
      <c r="AF172" s="13" t="str">
        <f>IFERROR(MIN(_xlfn.IFNA(VLOOKUP(Table2[[#This Row],[tee time5]],'Fall FD - groups'!$A$3:$F$20,5,FALSE),""),starting_interval + Table2[[#This Row],[round5]] - standard_round_time),"")</f>
        <v/>
      </c>
      <c r="AG172" s="69" t="str">
        <f>IF(AND(Table2[[#This Row],[gap5]]="NA",Table2[[#This Row],[round5]]&lt;4/24),0,IFERROR((MAX(starting_interval,IF(Table2[[#This Row],[gap5]]="NA",Table2[[#This Row],[avg gap]],Table2[[#This Row],[gap5]]))-starting_interval)*Table2[[#This Row],[followers5]]/Table2[[#This Row],[group size5]],""))</f>
        <v/>
      </c>
      <c r="AH172" s="32" t="str">
        <f>_xlfn.IFNA(VLOOKUP(Table2[[#This Row],[Name]],'Stableford - players'!$A$2:$B$65,2,FALSE),"")</f>
        <v/>
      </c>
      <c r="AI172" s="59" t="str">
        <f>IF(Table2[[#This Row],[tee time6]]&lt;&gt;"",COUNTIF('Stableford - players'!$B$2:$B$65,"="&amp;Table2[[#This Row],[tee time6]]),"")</f>
        <v/>
      </c>
      <c r="AJ172" s="59" t="str">
        <f>_xlfn.IFNA(VLOOKUP(Table2[[#This Row],[tee time6]],'Stableford - groups'!$A$3:$F$20,6,FALSE),"")</f>
        <v/>
      </c>
      <c r="AK172" s="11" t="str">
        <f>_xlfn.IFNA(VLOOKUP(Table2[[#This Row],[tee time6]],'Stableford - groups'!$A$3:$F$20,4,FALSE),"")</f>
        <v/>
      </c>
      <c r="AL172" s="13" t="str">
        <f>_xlfn.IFNA(VLOOKUP(Table2[[#This Row],[tee time6]],'Stableford - groups'!$A$3:$F$20,5,FALSE),"")</f>
        <v/>
      </c>
      <c r="AM172" s="68" t="str">
        <f>IF(AND(Table2[[#This Row],[gap6]]="NA",Table2[[#This Row],[round6]]&lt;4/24),0,IFERROR((MAX(starting_interval,IF(Table2[[#This Row],[gap6]]="NA",Table2[[#This Row],[avg gap]],Table2[[#This Row],[gap6]]))-starting_interval)*Table2[[#This Row],[followers6]]/Table2[[#This Row],[group size6]],""))</f>
        <v/>
      </c>
      <c r="AN172" s="32" t="str">
        <f>_xlfn.IFNA(VLOOKUP(Table2[[#This Row],[Name]],'Turkey Shoot - players'!$A$2:$B$65,2,FALSE),"")</f>
        <v/>
      </c>
      <c r="AO172" s="59" t="str">
        <f>IF(Table2[[#This Row],[tee time7]]&lt;&gt;"",COUNTIF('Turkey Shoot - players'!$B$2:$B$65,"="&amp;Table2[[#This Row],[tee time7]]),"")</f>
        <v/>
      </c>
      <c r="AP172" s="59" t="str">
        <f>_xlfn.IFNA(VLOOKUP(Table2[[#This Row],[tee time7]],'Stableford - groups'!$A$3:$F$20,6,FALSE),"")</f>
        <v/>
      </c>
      <c r="AQ172" s="11" t="str">
        <f>_xlfn.IFNA(VLOOKUP(Table2[[#This Row],[tee time7]],'Turkey Shoot - groups'!$A$3:$F$20,4,FALSE),"")</f>
        <v/>
      </c>
      <c r="AR172" s="13" t="str">
        <f>_xlfn.IFNA(VLOOKUP(Table2[[#This Row],[tee time7]],'Turkey Shoot - groups'!$A$3:$F$20,5,FALSE),"")</f>
        <v/>
      </c>
      <c r="AS172" s="68" t="str">
        <f>IF(AND(Table2[[#This Row],[gap7]]="NA",Table2[[#This Row],[round7]]&lt;4/24),0,IFERROR((MAX(starting_interval,IF(Table2[[#This Row],[gap7]]="NA",Table2[[#This Row],[avg gap]],Table2[[#This Row],[gap7]]))-starting_interval)*Table2[[#This Row],[followers7]]/Table2[[#This Row],[group size7]],""))</f>
        <v/>
      </c>
      <c r="AT172" s="72">
        <f>COUNT(Table2[[#This Row],[Tee time1]],Table2[[#This Row],[tee time2]],Table2[[#This Row],[tee time3]],Table2[[#This Row],[tee time4]],Table2[[#This Row],[tee time5]],Table2[[#This Row],[tee time6]],Table2[[#This Row],[tee time7]])</f>
        <v>0</v>
      </c>
      <c r="AU172" s="4" t="str">
        <f>IFERROR(AVERAGE(Table2[[#This Row],[Tee time1]],Table2[[#This Row],[tee time2]],Table2[[#This Row],[tee time3]],Table2[[#This Row],[tee time4]],Table2[[#This Row],[tee time5]],Table2[[#This Row],[tee time6]],Table2[[#This Row],[tee time7]]),"")</f>
        <v/>
      </c>
      <c r="AV172" s="11" t="str">
        <f>IFERROR(MEDIAN(Table2[[#This Row],[round1]],Table2[[#This Row],[Round2]],Table2[[#This Row],[round3]],Table2[[#This Row],[round4]],Table2[[#This Row],[round5]],Table2[[#This Row],[round6]],Table2[[#This Row],[round7]]),"")</f>
        <v/>
      </c>
      <c r="AW172" s="11" t="str">
        <f>IFERROR(AVERAGE(Table2[[#This Row],[gap1]],Table2[[#This Row],[gap2]],Table2[[#This Row],[gap3]],Table2[[#This Row],[gap4]],Table2[[#This Row],[gap5]],Table2[[#This Row],[gap6]],Table2[[#This Row],[gap7]]),"")</f>
        <v/>
      </c>
      <c r="AX172" s="9" t="str">
        <f>IFERROR((Table2[[#This Row],[avg gap]]-starting_interval)*24*60*Table2[[#This Row],[Count]],"NA")</f>
        <v>NA</v>
      </c>
      <c r="AY172"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72" s="2"/>
    </row>
    <row r="173" spans="1:52" hidden="1" x14ac:dyDescent="0.3">
      <c r="A173" s="10" t="s">
        <v>91</v>
      </c>
      <c r="B173" s="1" t="s">
        <v>330</v>
      </c>
      <c r="C173" s="19">
        <v>4.0999999999999996</v>
      </c>
      <c r="D173" s="32" t="str">
        <f>_xlfn.IFNA(VLOOKUP(Table2[[#This Row],[Name]],'Classic day 1 - players'!$A$2:$B$64,2,FALSE),"")</f>
        <v/>
      </c>
      <c r="E173" s="33" t="str">
        <f>IF(Table2[[#This Row],[Tee time1]]&lt;&gt;"",COUNTIF('Classic day 1 - players'!$B$2:$B$64,"="&amp;Table2[[#This Row],[Tee time1]]),"")</f>
        <v/>
      </c>
      <c r="F173" s="4" t="str">
        <f>_xlfn.IFNA(VLOOKUP(Table2[[#This Row],[Tee time1]],'Classic day 1 - groups'!$A$3:$F$20,6,FALSE),"")</f>
        <v/>
      </c>
      <c r="G173" s="11" t="str">
        <f>_xlfn.IFNA(VLOOKUP(Table2[[#This Row],[Tee time1]],'Classic day 1 - groups'!$A$3:$F$20,4,FALSE),"")</f>
        <v/>
      </c>
      <c r="H173" s="12" t="str">
        <f>_xlfn.IFNA(VLOOKUP(Table2[[#This Row],[Tee time1]],'Classic day 1 - groups'!$A$3:$F$20,5,FALSE),"")</f>
        <v/>
      </c>
      <c r="I173" s="69" t="str">
        <f>IFERROR((MAX(starting_interval,IF(Table2[[#This Row],[gap1]]="NA",Table2[[#This Row],[avg gap]],Table2[[#This Row],[gap1]]))-starting_interval)*Table2[[#This Row],[followers1]]/Table2[[#This Row],[group size]],"")</f>
        <v/>
      </c>
      <c r="J173" s="32" t="str">
        <f>_xlfn.IFNA(VLOOKUP(Table2[[#This Row],[Name]],'Classic day 2 - players'!$A$2:$B$64,2,FALSE),"")</f>
        <v/>
      </c>
      <c r="K173" s="4" t="str">
        <f>IF(Table2[[#This Row],[tee time2]]&lt;&gt;"",COUNTIF('Classic day 2 - players'!$B$2:$B$64,"="&amp;Table2[[#This Row],[tee time2]]),"")</f>
        <v/>
      </c>
      <c r="L173" s="4" t="str">
        <f>_xlfn.IFNA(VLOOKUP(Table2[[#This Row],[tee time2]],'Classic day 2 - groups'!$A$3:$F$20,6,FALSE),"")</f>
        <v/>
      </c>
      <c r="M173" s="4" t="str">
        <f>_xlfn.IFNA(VLOOKUP(Table2[[#This Row],[tee time2]],'Classic day 2 - groups'!$A$3:$F$20,4,FALSE),"")</f>
        <v/>
      </c>
      <c r="N173" s="65" t="str">
        <f>_xlfn.IFNA(VLOOKUP(Table2[[#This Row],[tee time2]],'Classic day 2 - groups'!$A$3:$F$20,5,FALSE),"")</f>
        <v/>
      </c>
      <c r="O173" s="69" t="str">
        <f>IFERROR((MAX(starting_interval,IF(Table2[[#This Row],[gap2]]="NA",Table2[[#This Row],[avg gap]],Table2[[#This Row],[gap2]]))-starting_interval)*Table2[[#This Row],[followers2]]/Table2[[#This Row],[group size2]],"")</f>
        <v/>
      </c>
      <c r="P173" s="32" t="str">
        <f>_xlfn.IFNA(VLOOKUP(Table2[[#This Row],[Name]],'Summer FD - players'!$A$2:$B$65,2,FALSE),"")</f>
        <v/>
      </c>
      <c r="Q173" s="59" t="str">
        <f>IF(Table2[[#This Row],[tee time3]]&lt;&gt;"",COUNTIF('Summer FD - players'!$B$2:$B$65,"="&amp;Table2[[#This Row],[tee time3]]),"")</f>
        <v/>
      </c>
      <c r="R173" s="59" t="str">
        <f>_xlfn.IFNA(VLOOKUP(Table2[[#This Row],[tee time3]],'Summer FD - groups'!$A$3:$F$20,6,FALSE),"")</f>
        <v/>
      </c>
      <c r="S173" s="4" t="str">
        <f>_xlfn.IFNA(VLOOKUP(Table2[[#This Row],[tee time3]],'Summer FD - groups'!$A$3:$F$20,4,FALSE),"")</f>
        <v/>
      </c>
      <c r="T173" s="13" t="str">
        <f>_xlfn.IFNA(VLOOKUP(Table2[[#This Row],[tee time3]],'Summer FD - groups'!$A$3:$F$20,5,FALSE),"")</f>
        <v/>
      </c>
      <c r="U173" s="69" t="str">
        <f>IF(Table2[[#This Row],[avg gap]]&lt;&gt;"",IFERROR((MAX(starting_interval,IF(Table2[[#This Row],[gap3]]="NA",Table2[[#This Row],[avg gap]],Table2[[#This Row],[gap3]]))-starting_interval)*Table2[[#This Row],[followers3]]/Table2[[#This Row],[group size3]],""),"")</f>
        <v/>
      </c>
      <c r="V173" s="32" t="str">
        <f>_xlfn.IFNA(VLOOKUP(Table2[[#This Row],[Name]],'6-6-6 - players'!$A$2:$B$69,2,FALSE),"")</f>
        <v/>
      </c>
      <c r="W173" s="59" t="str">
        <f>IF(Table2[[#This Row],[tee time4]]&lt;&gt;"",COUNTIF('6-6-6 - players'!$B$2:$B$69,"="&amp;Table2[[#This Row],[tee time4]]),"")</f>
        <v/>
      </c>
      <c r="X173" s="59" t="str">
        <f>_xlfn.IFNA(VLOOKUP(Table2[[#This Row],[tee time4]],'6-6-6 - groups'!$A$3:$F$20,6,FALSE),"")</f>
        <v/>
      </c>
      <c r="Y173" s="4" t="str">
        <f>_xlfn.IFNA(VLOOKUP(Table2[[#This Row],[tee time4]],'6-6-6 - groups'!$A$3:$F$20,4,FALSE),"")</f>
        <v/>
      </c>
      <c r="Z173" s="13" t="str">
        <f>_xlfn.IFNA(VLOOKUP(Table2[[#This Row],[tee time4]],'6-6-6 - groups'!$A$3:$F$20,5,FALSE),"")</f>
        <v/>
      </c>
      <c r="AA173" s="69" t="str">
        <f>IF(Table2[[#This Row],[avg gap]]&lt;&gt;"",IFERROR((MAX(starting_interval,IF(Table2[[#This Row],[gap4]]="NA",Table2[[#This Row],[avg gap]],Table2[[#This Row],[gap4]]))-starting_interval)*Table2[[#This Row],[followers4]]/Table2[[#This Row],[group size4]],""),"")</f>
        <v/>
      </c>
      <c r="AB173" s="32" t="str">
        <f>_xlfn.IFNA(VLOOKUP(Table2[[#This Row],[Name]],'Fall FD - players'!$A$2:$B$65,2,FALSE),"")</f>
        <v/>
      </c>
      <c r="AC173" s="59" t="str">
        <f>IF(Table2[[#This Row],[tee time5]]&lt;&gt;"",COUNTIF('Fall FD - players'!$B$2:$B$65,"="&amp;Table2[[#This Row],[tee time5]]),"")</f>
        <v/>
      </c>
      <c r="AD173" s="59" t="str">
        <f>_xlfn.IFNA(VLOOKUP(Table2[[#This Row],[tee time5]],'Fall FD - groups'!$A$3:$F$20,6,FALSE),"")</f>
        <v/>
      </c>
      <c r="AE173" s="4" t="str">
        <f>_xlfn.IFNA(VLOOKUP(Table2[[#This Row],[tee time5]],'Fall FD - groups'!$A$3:$F$20,4,FALSE),"")</f>
        <v/>
      </c>
      <c r="AF173" s="13" t="str">
        <f>IFERROR(MIN(_xlfn.IFNA(VLOOKUP(Table2[[#This Row],[tee time5]],'Fall FD - groups'!$A$3:$F$20,5,FALSE),""),starting_interval + Table2[[#This Row],[round5]] - standard_round_time),"")</f>
        <v/>
      </c>
      <c r="AG173" s="69" t="str">
        <f>IF(AND(Table2[[#This Row],[gap5]]="NA",Table2[[#This Row],[round5]]&lt;4/24),0,IFERROR((MAX(starting_interval,IF(Table2[[#This Row],[gap5]]="NA",Table2[[#This Row],[avg gap]],Table2[[#This Row],[gap5]]))-starting_interval)*Table2[[#This Row],[followers5]]/Table2[[#This Row],[group size5]],""))</f>
        <v/>
      </c>
      <c r="AH173" s="32" t="str">
        <f>_xlfn.IFNA(VLOOKUP(Table2[[#This Row],[Name]],'Stableford - players'!$A$2:$B$65,2,FALSE),"")</f>
        <v/>
      </c>
      <c r="AI173" s="59" t="str">
        <f>IF(Table2[[#This Row],[tee time6]]&lt;&gt;"",COUNTIF('Stableford - players'!$B$2:$B$65,"="&amp;Table2[[#This Row],[tee time6]]),"")</f>
        <v/>
      </c>
      <c r="AJ173" s="59" t="str">
        <f>_xlfn.IFNA(VLOOKUP(Table2[[#This Row],[tee time6]],'Stableford - groups'!$A$3:$F$20,6,FALSE),"")</f>
        <v/>
      </c>
      <c r="AK173" s="11" t="str">
        <f>_xlfn.IFNA(VLOOKUP(Table2[[#This Row],[tee time6]],'Stableford - groups'!$A$3:$F$20,4,FALSE),"")</f>
        <v/>
      </c>
      <c r="AL173" s="13" t="str">
        <f>_xlfn.IFNA(VLOOKUP(Table2[[#This Row],[tee time6]],'Stableford - groups'!$A$3:$F$20,5,FALSE),"")</f>
        <v/>
      </c>
      <c r="AM173" s="68" t="str">
        <f>IF(AND(Table2[[#This Row],[gap6]]="NA",Table2[[#This Row],[round6]]&lt;4/24),0,IFERROR((MAX(starting_interval,IF(Table2[[#This Row],[gap6]]="NA",Table2[[#This Row],[avg gap]],Table2[[#This Row],[gap6]]))-starting_interval)*Table2[[#This Row],[followers6]]/Table2[[#This Row],[group size6]],""))</f>
        <v/>
      </c>
      <c r="AN173" s="32" t="str">
        <f>_xlfn.IFNA(VLOOKUP(Table2[[#This Row],[Name]],'Turkey Shoot - players'!$A$2:$B$65,2,FALSE),"")</f>
        <v/>
      </c>
      <c r="AO173" s="59" t="str">
        <f>IF(Table2[[#This Row],[tee time7]]&lt;&gt;"",COUNTIF('Turkey Shoot - players'!$B$2:$B$65,"="&amp;Table2[[#This Row],[tee time7]]),"")</f>
        <v/>
      </c>
      <c r="AP173" s="59" t="str">
        <f>_xlfn.IFNA(VLOOKUP(Table2[[#This Row],[tee time7]],'Stableford - groups'!$A$3:$F$20,6,FALSE),"")</f>
        <v/>
      </c>
      <c r="AQ173" s="11" t="str">
        <f>_xlfn.IFNA(VLOOKUP(Table2[[#This Row],[tee time7]],'Turkey Shoot - groups'!$A$3:$F$20,4,FALSE),"")</f>
        <v/>
      </c>
      <c r="AR173" s="13" t="str">
        <f>_xlfn.IFNA(VLOOKUP(Table2[[#This Row],[tee time7]],'Turkey Shoot - groups'!$A$3:$F$20,5,FALSE),"")</f>
        <v/>
      </c>
      <c r="AS173" s="68" t="str">
        <f>IF(AND(Table2[[#This Row],[gap7]]="NA",Table2[[#This Row],[round7]]&lt;4/24),0,IFERROR((MAX(starting_interval,IF(Table2[[#This Row],[gap7]]="NA",Table2[[#This Row],[avg gap]],Table2[[#This Row],[gap7]]))-starting_interval)*Table2[[#This Row],[followers7]]/Table2[[#This Row],[group size7]],""))</f>
        <v/>
      </c>
      <c r="AT173" s="72">
        <f>COUNT(Table2[[#This Row],[Tee time1]],Table2[[#This Row],[tee time2]],Table2[[#This Row],[tee time3]],Table2[[#This Row],[tee time4]],Table2[[#This Row],[tee time5]],Table2[[#This Row],[tee time6]],Table2[[#This Row],[tee time7]])</f>
        <v>0</v>
      </c>
      <c r="AU173" s="4" t="str">
        <f>IFERROR(AVERAGE(Table2[[#This Row],[Tee time1]],Table2[[#This Row],[tee time2]],Table2[[#This Row],[tee time3]],Table2[[#This Row],[tee time4]],Table2[[#This Row],[tee time5]],Table2[[#This Row],[tee time6]],Table2[[#This Row],[tee time7]]),"")</f>
        <v/>
      </c>
      <c r="AV173" s="11" t="str">
        <f>IFERROR(MEDIAN(Table2[[#This Row],[round1]],Table2[[#This Row],[Round2]],Table2[[#This Row],[round3]],Table2[[#This Row],[round4]],Table2[[#This Row],[round5]],Table2[[#This Row],[round6]],Table2[[#This Row],[round7]]),"")</f>
        <v/>
      </c>
      <c r="AW173" s="11" t="str">
        <f>IFERROR(AVERAGE(Table2[[#This Row],[gap1]],Table2[[#This Row],[gap2]],Table2[[#This Row],[gap3]],Table2[[#This Row],[gap4]],Table2[[#This Row],[gap5]],Table2[[#This Row],[gap6]],Table2[[#This Row],[gap7]]),"")</f>
        <v/>
      </c>
      <c r="AX173" s="9" t="str">
        <f>IFERROR((Table2[[#This Row],[avg gap]]-starting_interval)*24*60*Table2[[#This Row],[Count]],"NA")</f>
        <v>NA</v>
      </c>
      <c r="AY173"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73" s="2"/>
    </row>
    <row r="174" spans="1:52" hidden="1" x14ac:dyDescent="0.3">
      <c r="A174" s="10" t="s">
        <v>92</v>
      </c>
      <c r="B174" s="1" t="s">
        <v>331</v>
      </c>
      <c r="C174" s="19">
        <v>1.7</v>
      </c>
      <c r="D174" s="32" t="str">
        <f>_xlfn.IFNA(VLOOKUP(Table2[[#This Row],[Name]],'Classic day 1 - players'!$A$2:$B$64,2,FALSE),"")</f>
        <v/>
      </c>
      <c r="E174" s="33" t="str">
        <f>IF(Table2[[#This Row],[Tee time1]]&lt;&gt;"",COUNTIF('Classic day 1 - players'!$B$2:$B$64,"="&amp;Table2[[#This Row],[Tee time1]]),"")</f>
        <v/>
      </c>
      <c r="F174" s="4" t="str">
        <f>_xlfn.IFNA(VLOOKUP(Table2[[#This Row],[Tee time1]],'Classic day 1 - groups'!$A$3:$F$20,6,FALSE),"")</f>
        <v/>
      </c>
      <c r="G174" s="11" t="str">
        <f>_xlfn.IFNA(VLOOKUP(Table2[[#This Row],[Tee time1]],'Classic day 1 - groups'!$A$3:$F$20,4,FALSE),"")</f>
        <v/>
      </c>
      <c r="H174" s="12" t="str">
        <f>_xlfn.IFNA(VLOOKUP(Table2[[#This Row],[Tee time1]],'Classic day 1 - groups'!$A$3:$F$20,5,FALSE),"")</f>
        <v/>
      </c>
      <c r="I174" s="69" t="str">
        <f>IFERROR((MAX(starting_interval,IF(Table2[[#This Row],[gap1]]="NA",Table2[[#This Row],[avg gap]],Table2[[#This Row],[gap1]]))-starting_interval)*Table2[[#This Row],[followers1]]/Table2[[#This Row],[group size]],"")</f>
        <v/>
      </c>
      <c r="J174" s="32" t="str">
        <f>_xlfn.IFNA(VLOOKUP(Table2[[#This Row],[Name]],'Classic day 2 - players'!$A$2:$B$64,2,FALSE),"")</f>
        <v/>
      </c>
      <c r="K174" s="4" t="str">
        <f>IF(Table2[[#This Row],[tee time2]]&lt;&gt;"",COUNTIF('Classic day 2 - players'!$B$2:$B$64,"="&amp;Table2[[#This Row],[tee time2]]),"")</f>
        <v/>
      </c>
      <c r="L174" s="4" t="str">
        <f>_xlfn.IFNA(VLOOKUP(Table2[[#This Row],[tee time2]],'Classic day 2 - groups'!$A$3:$F$20,6,FALSE),"")</f>
        <v/>
      </c>
      <c r="M174" s="4" t="str">
        <f>_xlfn.IFNA(VLOOKUP(Table2[[#This Row],[tee time2]],'Classic day 2 - groups'!$A$3:$F$20,4,FALSE),"")</f>
        <v/>
      </c>
      <c r="N174" s="65" t="str">
        <f>_xlfn.IFNA(VLOOKUP(Table2[[#This Row],[tee time2]],'Classic day 2 - groups'!$A$3:$F$20,5,FALSE),"")</f>
        <v/>
      </c>
      <c r="O174" s="69" t="str">
        <f>IFERROR((MAX(starting_interval,IF(Table2[[#This Row],[gap2]]="NA",Table2[[#This Row],[avg gap]],Table2[[#This Row],[gap2]]))-starting_interval)*Table2[[#This Row],[followers2]]/Table2[[#This Row],[group size2]],"")</f>
        <v/>
      </c>
      <c r="P174" s="32" t="str">
        <f>_xlfn.IFNA(VLOOKUP(Table2[[#This Row],[Name]],'Summer FD - players'!$A$2:$B$65,2,FALSE),"")</f>
        <v/>
      </c>
      <c r="Q174" s="59" t="str">
        <f>IF(Table2[[#This Row],[tee time3]]&lt;&gt;"",COUNTIF('Summer FD - players'!$B$2:$B$65,"="&amp;Table2[[#This Row],[tee time3]]),"")</f>
        <v/>
      </c>
      <c r="R174" s="59" t="str">
        <f>_xlfn.IFNA(VLOOKUP(Table2[[#This Row],[tee time3]],'Summer FD - groups'!$A$3:$F$20,6,FALSE),"")</f>
        <v/>
      </c>
      <c r="S174" s="4" t="str">
        <f>_xlfn.IFNA(VLOOKUP(Table2[[#This Row],[tee time3]],'Summer FD - groups'!$A$3:$F$20,4,FALSE),"")</f>
        <v/>
      </c>
      <c r="T174" s="13" t="str">
        <f>_xlfn.IFNA(VLOOKUP(Table2[[#This Row],[tee time3]],'Summer FD - groups'!$A$3:$F$20,5,FALSE),"")</f>
        <v/>
      </c>
      <c r="U174" s="69" t="str">
        <f>IF(Table2[[#This Row],[avg gap]]&lt;&gt;"",IFERROR((MAX(starting_interval,IF(Table2[[#This Row],[gap3]]="NA",Table2[[#This Row],[avg gap]],Table2[[#This Row],[gap3]]))-starting_interval)*Table2[[#This Row],[followers3]]/Table2[[#This Row],[group size3]],""),"")</f>
        <v/>
      </c>
      <c r="V174" s="32" t="str">
        <f>_xlfn.IFNA(VLOOKUP(Table2[[#This Row],[Name]],'6-6-6 - players'!$A$2:$B$69,2,FALSE),"")</f>
        <v/>
      </c>
      <c r="W174" s="59" t="str">
        <f>IF(Table2[[#This Row],[tee time4]]&lt;&gt;"",COUNTIF('6-6-6 - players'!$B$2:$B$69,"="&amp;Table2[[#This Row],[tee time4]]),"")</f>
        <v/>
      </c>
      <c r="X174" s="59" t="str">
        <f>_xlfn.IFNA(VLOOKUP(Table2[[#This Row],[tee time4]],'6-6-6 - groups'!$A$3:$F$20,6,FALSE),"")</f>
        <v/>
      </c>
      <c r="Y174" s="4" t="str">
        <f>_xlfn.IFNA(VLOOKUP(Table2[[#This Row],[tee time4]],'6-6-6 - groups'!$A$3:$F$20,4,FALSE),"")</f>
        <v/>
      </c>
      <c r="Z174" s="13" t="str">
        <f>_xlfn.IFNA(VLOOKUP(Table2[[#This Row],[tee time4]],'6-6-6 - groups'!$A$3:$F$20,5,FALSE),"")</f>
        <v/>
      </c>
      <c r="AA174" s="69" t="str">
        <f>IF(Table2[[#This Row],[avg gap]]&lt;&gt;"",IFERROR((MAX(starting_interval,IF(Table2[[#This Row],[gap4]]="NA",Table2[[#This Row],[avg gap]],Table2[[#This Row],[gap4]]))-starting_interval)*Table2[[#This Row],[followers4]]/Table2[[#This Row],[group size4]],""),"")</f>
        <v/>
      </c>
      <c r="AB174" s="32" t="str">
        <f>_xlfn.IFNA(VLOOKUP(Table2[[#This Row],[Name]],'Fall FD - players'!$A$2:$B$65,2,FALSE),"")</f>
        <v/>
      </c>
      <c r="AC174" s="59" t="str">
        <f>IF(Table2[[#This Row],[tee time5]]&lt;&gt;"",COUNTIF('Fall FD - players'!$B$2:$B$65,"="&amp;Table2[[#This Row],[tee time5]]),"")</f>
        <v/>
      </c>
      <c r="AD174" s="59" t="str">
        <f>_xlfn.IFNA(VLOOKUP(Table2[[#This Row],[tee time5]],'Fall FD - groups'!$A$3:$F$20,6,FALSE),"")</f>
        <v/>
      </c>
      <c r="AE174" s="4" t="str">
        <f>_xlfn.IFNA(VLOOKUP(Table2[[#This Row],[tee time5]],'Fall FD - groups'!$A$3:$F$20,4,FALSE),"")</f>
        <v/>
      </c>
      <c r="AF174" s="13" t="str">
        <f>IFERROR(MIN(_xlfn.IFNA(VLOOKUP(Table2[[#This Row],[tee time5]],'Fall FD - groups'!$A$3:$F$20,5,FALSE),""),starting_interval + Table2[[#This Row],[round5]] - standard_round_time),"")</f>
        <v/>
      </c>
      <c r="AG174" s="69" t="str">
        <f>IF(AND(Table2[[#This Row],[gap5]]="NA",Table2[[#This Row],[round5]]&lt;4/24),0,IFERROR((MAX(starting_interval,IF(Table2[[#This Row],[gap5]]="NA",Table2[[#This Row],[avg gap]],Table2[[#This Row],[gap5]]))-starting_interval)*Table2[[#This Row],[followers5]]/Table2[[#This Row],[group size5]],""))</f>
        <v/>
      </c>
      <c r="AH174" s="32" t="str">
        <f>_xlfn.IFNA(VLOOKUP(Table2[[#This Row],[Name]],'Stableford - players'!$A$2:$B$65,2,FALSE),"")</f>
        <v/>
      </c>
      <c r="AI174" s="59" t="str">
        <f>IF(Table2[[#This Row],[tee time6]]&lt;&gt;"",COUNTIF('Stableford - players'!$B$2:$B$65,"="&amp;Table2[[#This Row],[tee time6]]),"")</f>
        <v/>
      </c>
      <c r="AJ174" s="59" t="str">
        <f>_xlfn.IFNA(VLOOKUP(Table2[[#This Row],[tee time6]],'Stableford - groups'!$A$3:$F$20,6,FALSE),"")</f>
        <v/>
      </c>
      <c r="AK174" s="11" t="str">
        <f>_xlfn.IFNA(VLOOKUP(Table2[[#This Row],[tee time6]],'Stableford - groups'!$A$3:$F$20,4,FALSE),"")</f>
        <v/>
      </c>
      <c r="AL174" s="13" t="str">
        <f>_xlfn.IFNA(VLOOKUP(Table2[[#This Row],[tee time6]],'Stableford - groups'!$A$3:$F$20,5,FALSE),"")</f>
        <v/>
      </c>
      <c r="AM174" s="68" t="str">
        <f>IF(AND(Table2[[#This Row],[gap6]]="NA",Table2[[#This Row],[round6]]&lt;4/24),0,IFERROR((MAX(starting_interval,IF(Table2[[#This Row],[gap6]]="NA",Table2[[#This Row],[avg gap]],Table2[[#This Row],[gap6]]))-starting_interval)*Table2[[#This Row],[followers6]]/Table2[[#This Row],[group size6]],""))</f>
        <v/>
      </c>
      <c r="AN174" s="32" t="str">
        <f>_xlfn.IFNA(VLOOKUP(Table2[[#This Row],[Name]],'Turkey Shoot - players'!$A$2:$B$65,2,FALSE),"")</f>
        <v/>
      </c>
      <c r="AO174" s="59" t="str">
        <f>IF(Table2[[#This Row],[tee time7]]&lt;&gt;"",COUNTIF('Turkey Shoot - players'!$B$2:$B$65,"="&amp;Table2[[#This Row],[tee time7]]),"")</f>
        <v/>
      </c>
      <c r="AP174" s="59" t="str">
        <f>_xlfn.IFNA(VLOOKUP(Table2[[#This Row],[tee time7]],'Stableford - groups'!$A$3:$F$20,6,FALSE),"")</f>
        <v/>
      </c>
      <c r="AQ174" s="11" t="str">
        <f>_xlfn.IFNA(VLOOKUP(Table2[[#This Row],[tee time7]],'Turkey Shoot - groups'!$A$3:$F$20,4,FALSE),"")</f>
        <v/>
      </c>
      <c r="AR174" s="13" t="str">
        <f>_xlfn.IFNA(VLOOKUP(Table2[[#This Row],[tee time7]],'Turkey Shoot - groups'!$A$3:$F$20,5,FALSE),"")</f>
        <v/>
      </c>
      <c r="AS174" s="68" t="str">
        <f>IF(AND(Table2[[#This Row],[gap7]]="NA",Table2[[#This Row],[round7]]&lt;4/24),0,IFERROR((MAX(starting_interval,IF(Table2[[#This Row],[gap7]]="NA",Table2[[#This Row],[avg gap]],Table2[[#This Row],[gap7]]))-starting_interval)*Table2[[#This Row],[followers7]]/Table2[[#This Row],[group size7]],""))</f>
        <v/>
      </c>
      <c r="AT174" s="72">
        <f>COUNT(Table2[[#This Row],[Tee time1]],Table2[[#This Row],[tee time2]],Table2[[#This Row],[tee time3]],Table2[[#This Row],[tee time4]],Table2[[#This Row],[tee time5]],Table2[[#This Row],[tee time6]],Table2[[#This Row],[tee time7]])</f>
        <v>0</v>
      </c>
      <c r="AU174" s="4" t="str">
        <f>IFERROR(AVERAGE(Table2[[#This Row],[Tee time1]],Table2[[#This Row],[tee time2]],Table2[[#This Row],[tee time3]],Table2[[#This Row],[tee time4]],Table2[[#This Row],[tee time5]],Table2[[#This Row],[tee time6]],Table2[[#This Row],[tee time7]]),"")</f>
        <v/>
      </c>
      <c r="AV174" s="11" t="str">
        <f>IFERROR(MEDIAN(Table2[[#This Row],[round1]],Table2[[#This Row],[Round2]],Table2[[#This Row],[round3]],Table2[[#This Row],[round4]],Table2[[#This Row],[round5]],Table2[[#This Row],[round6]],Table2[[#This Row],[round7]]),"")</f>
        <v/>
      </c>
      <c r="AW174" s="11" t="str">
        <f>IFERROR(AVERAGE(Table2[[#This Row],[gap1]],Table2[[#This Row],[gap2]],Table2[[#This Row],[gap3]],Table2[[#This Row],[gap4]],Table2[[#This Row],[gap5]],Table2[[#This Row],[gap6]],Table2[[#This Row],[gap7]]),"")</f>
        <v/>
      </c>
      <c r="AX174" s="9" t="str">
        <f>IFERROR((Table2[[#This Row],[avg gap]]-starting_interval)*24*60*Table2[[#This Row],[Count]],"NA")</f>
        <v>NA</v>
      </c>
      <c r="AY174"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74" s="2"/>
    </row>
    <row r="175" spans="1:52" hidden="1" x14ac:dyDescent="0.3">
      <c r="A175" s="10" t="s">
        <v>93</v>
      </c>
      <c r="B175" s="1" t="s">
        <v>332</v>
      </c>
      <c r="C175" s="19">
        <v>5.8</v>
      </c>
      <c r="D175" s="32" t="str">
        <f>_xlfn.IFNA(VLOOKUP(Table2[[#This Row],[Name]],'Classic day 1 - players'!$A$2:$B$64,2,FALSE),"")</f>
        <v/>
      </c>
      <c r="E175" s="33" t="str">
        <f>IF(Table2[[#This Row],[Tee time1]]&lt;&gt;"",COUNTIF('Classic day 1 - players'!$B$2:$B$64,"="&amp;Table2[[#This Row],[Tee time1]]),"")</f>
        <v/>
      </c>
      <c r="F175" s="4" t="str">
        <f>_xlfn.IFNA(VLOOKUP(Table2[[#This Row],[Tee time1]],'Classic day 1 - groups'!$A$3:$F$20,6,FALSE),"")</f>
        <v/>
      </c>
      <c r="G175" s="11" t="str">
        <f>_xlfn.IFNA(VLOOKUP(Table2[[#This Row],[Tee time1]],'Classic day 1 - groups'!$A$3:$F$20,4,FALSE),"")</f>
        <v/>
      </c>
      <c r="H175" s="12" t="str">
        <f>_xlfn.IFNA(VLOOKUP(Table2[[#This Row],[Tee time1]],'Classic day 1 - groups'!$A$3:$F$20,5,FALSE),"")</f>
        <v/>
      </c>
      <c r="I175" s="69" t="str">
        <f>IFERROR((MAX(starting_interval,IF(Table2[[#This Row],[gap1]]="NA",Table2[[#This Row],[avg gap]],Table2[[#This Row],[gap1]]))-starting_interval)*Table2[[#This Row],[followers1]]/Table2[[#This Row],[group size]],"")</f>
        <v/>
      </c>
      <c r="J175" s="32" t="str">
        <f>_xlfn.IFNA(VLOOKUP(Table2[[#This Row],[Name]],'Classic day 2 - players'!$A$2:$B$64,2,FALSE),"")</f>
        <v/>
      </c>
      <c r="K175" s="4" t="str">
        <f>IF(Table2[[#This Row],[tee time2]]&lt;&gt;"",COUNTIF('Classic day 2 - players'!$B$2:$B$64,"="&amp;Table2[[#This Row],[tee time2]]),"")</f>
        <v/>
      </c>
      <c r="L175" s="4" t="str">
        <f>_xlfn.IFNA(VLOOKUP(Table2[[#This Row],[tee time2]],'Classic day 2 - groups'!$A$3:$F$20,6,FALSE),"")</f>
        <v/>
      </c>
      <c r="M175" s="4" t="str">
        <f>_xlfn.IFNA(VLOOKUP(Table2[[#This Row],[tee time2]],'Classic day 2 - groups'!$A$3:$F$20,4,FALSE),"")</f>
        <v/>
      </c>
      <c r="N175" s="65" t="str">
        <f>_xlfn.IFNA(VLOOKUP(Table2[[#This Row],[tee time2]],'Classic day 2 - groups'!$A$3:$F$20,5,FALSE),"")</f>
        <v/>
      </c>
      <c r="O175" s="69" t="str">
        <f>IFERROR((MAX(starting_interval,IF(Table2[[#This Row],[gap2]]="NA",Table2[[#This Row],[avg gap]],Table2[[#This Row],[gap2]]))-starting_interval)*Table2[[#This Row],[followers2]]/Table2[[#This Row],[group size2]],"")</f>
        <v/>
      </c>
      <c r="P175" s="32" t="str">
        <f>_xlfn.IFNA(VLOOKUP(Table2[[#This Row],[Name]],'Summer FD - players'!$A$2:$B$65,2,FALSE),"")</f>
        <v/>
      </c>
      <c r="Q175" s="59" t="str">
        <f>IF(Table2[[#This Row],[tee time3]]&lt;&gt;"",COUNTIF('Summer FD - players'!$B$2:$B$65,"="&amp;Table2[[#This Row],[tee time3]]),"")</f>
        <v/>
      </c>
      <c r="R175" s="59" t="str">
        <f>_xlfn.IFNA(VLOOKUP(Table2[[#This Row],[tee time3]],'Summer FD - groups'!$A$3:$F$20,6,FALSE),"")</f>
        <v/>
      </c>
      <c r="S175" s="4" t="str">
        <f>_xlfn.IFNA(VLOOKUP(Table2[[#This Row],[tee time3]],'Summer FD - groups'!$A$3:$F$20,4,FALSE),"")</f>
        <v/>
      </c>
      <c r="T175" s="13" t="str">
        <f>_xlfn.IFNA(VLOOKUP(Table2[[#This Row],[tee time3]],'Summer FD - groups'!$A$3:$F$20,5,FALSE),"")</f>
        <v/>
      </c>
      <c r="U175" s="69" t="str">
        <f>IF(Table2[[#This Row],[avg gap]]&lt;&gt;"",IFERROR((MAX(starting_interval,IF(Table2[[#This Row],[gap3]]="NA",Table2[[#This Row],[avg gap]],Table2[[#This Row],[gap3]]))-starting_interval)*Table2[[#This Row],[followers3]]/Table2[[#This Row],[group size3]],""),"")</f>
        <v/>
      </c>
      <c r="V175" s="32" t="str">
        <f>_xlfn.IFNA(VLOOKUP(Table2[[#This Row],[Name]],'6-6-6 - players'!$A$2:$B$69,2,FALSE),"")</f>
        <v/>
      </c>
      <c r="W175" s="59" t="str">
        <f>IF(Table2[[#This Row],[tee time4]]&lt;&gt;"",COUNTIF('6-6-6 - players'!$B$2:$B$69,"="&amp;Table2[[#This Row],[tee time4]]),"")</f>
        <v/>
      </c>
      <c r="X175" s="59" t="str">
        <f>_xlfn.IFNA(VLOOKUP(Table2[[#This Row],[tee time4]],'6-6-6 - groups'!$A$3:$F$20,6,FALSE),"")</f>
        <v/>
      </c>
      <c r="Y175" s="4" t="str">
        <f>_xlfn.IFNA(VLOOKUP(Table2[[#This Row],[tee time4]],'6-6-6 - groups'!$A$3:$F$20,4,FALSE),"")</f>
        <v/>
      </c>
      <c r="Z175" s="13" t="str">
        <f>_xlfn.IFNA(VLOOKUP(Table2[[#This Row],[tee time4]],'6-6-6 - groups'!$A$3:$F$20,5,FALSE),"")</f>
        <v/>
      </c>
      <c r="AA175" s="69" t="str">
        <f>IF(Table2[[#This Row],[avg gap]]&lt;&gt;"",IFERROR((MAX(starting_interval,IF(Table2[[#This Row],[gap4]]="NA",Table2[[#This Row],[avg gap]],Table2[[#This Row],[gap4]]))-starting_interval)*Table2[[#This Row],[followers4]]/Table2[[#This Row],[group size4]],""),"")</f>
        <v/>
      </c>
      <c r="AB175" s="32" t="str">
        <f>_xlfn.IFNA(VLOOKUP(Table2[[#This Row],[Name]],'Fall FD - players'!$A$2:$B$65,2,FALSE),"")</f>
        <v/>
      </c>
      <c r="AC175" s="59" t="str">
        <f>IF(Table2[[#This Row],[tee time5]]&lt;&gt;"",COUNTIF('Fall FD - players'!$B$2:$B$65,"="&amp;Table2[[#This Row],[tee time5]]),"")</f>
        <v/>
      </c>
      <c r="AD175" s="59" t="str">
        <f>_xlfn.IFNA(VLOOKUP(Table2[[#This Row],[tee time5]],'Fall FD - groups'!$A$3:$F$20,6,FALSE),"")</f>
        <v/>
      </c>
      <c r="AE175" s="4" t="str">
        <f>_xlfn.IFNA(VLOOKUP(Table2[[#This Row],[tee time5]],'Fall FD - groups'!$A$3:$F$20,4,FALSE),"")</f>
        <v/>
      </c>
      <c r="AF175" s="13" t="str">
        <f>IFERROR(MIN(_xlfn.IFNA(VLOOKUP(Table2[[#This Row],[tee time5]],'Fall FD - groups'!$A$3:$F$20,5,FALSE),""),starting_interval + Table2[[#This Row],[round5]] - standard_round_time),"")</f>
        <v/>
      </c>
      <c r="AG175" s="69" t="str">
        <f>IF(AND(Table2[[#This Row],[gap5]]="NA",Table2[[#This Row],[round5]]&lt;4/24),0,IFERROR((MAX(starting_interval,IF(Table2[[#This Row],[gap5]]="NA",Table2[[#This Row],[avg gap]],Table2[[#This Row],[gap5]]))-starting_interval)*Table2[[#This Row],[followers5]]/Table2[[#This Row],[group size5]],""))</f>
        <v/>
      </c>
      <c r="AH175" s="32" t="str">
        <f>_xlfn.IFNA(VLOOKUP(Table2[[#This Row],[Name]],'Stableford - players'!$A$2:$B$65,2,FALSE),"")</f>
        <v/>
      </c>
      <c r="AI175" s="59" t="str">
        <f>IF(Table2[[#This Row],[tee time6]]&lt;&gt;"",COUNTIF('Stableford - players'!$B$2:$B$65,"="&amp;Table2[[#This Row],[tee time6]]),"")</f>
        <v/>
      </c>
      <c r="AJ175" s="59" t="str">
        <f>_xlfn.IFNA(VLOOKUP(Table2[[#This Row],[tee time6]],'Stableford - groups'!$A$3:$F$20,6,FALSE),"")</f>
        <v/>
      </c>
      <c r="AK175" s="11" t="str">
        <f>_xlfn.IFNA(VLOOKUP(Table2[[#This Row],[tee time6]],'Stableford - groups'!$A$3:$F$20,4,FALSE),"")</f>
        <v/>
      </c>
      <c r="AL175" s="13" t="str">
        <f>_xlfn.IFNA(VLOOKUP(Table2[[#This Row],[tee time6]],'Stableford - groups'!$A$3:$F$20,5,FALSE),"")</f>
        <v/>
      </c>
      <c r="AM175" s="68" t="str">
        <f>IF(AND(Table2[[#This Row],[gap6]]="NA",Table2[[#This Row],[round6]]&lt;4/24),0,IFERROR((MAX(starting_interval,IF(Table2[[#This Row],[gap6]]="NA",Table2[[#This Row],[avg gap]],Table2[[#This Row],[gap6]]))-starting_interval)*Table2[[#This Row],[followers6]]/Table2[[#This Row],[group size6]],""))</f>
        <v/>
      </c>
      <c r="AN175" s="32" t="str">
        <f>_xlfn.IFNA(VLOOKUP(Table2[[#This Row],[Name]],'Turkey Shoot - players'!$A$2:$B$65,2,FALSE),"")</f>
        <v/>
      </c>
      <c r="AO175" s="59" t="str">
        <f>IF(Table2[[#This Row],[tee time7]]&lt;&gt;"",COUNTIF('Turkey Shoot - players'!$B$2:$B$65,"="&amp;Table2[[#This Row],[tee time7]]),"")</f>
        <v/>
      </c>
      <c r="AP175" s="59" t="str">
        <f>_xlfn.IFNA(VLOOKUP(Table2[[#This Row],[tee time7]],'Stableford - groups'!$A$3:$F$20,6,FALSE),"")</f>
        <v/>
      </c>
      <c r="AQ175" s="11" t="str">
        <f>_xlfn.IFNA(VLOOKUP(Table2[[#This Row],[tee time7]],'Turkey Shoot - groups'!$A$3:$F$20,4,FALSE),"")</f>
        <v/>
      </c>
      <c r="AR175" s="13" t="str">
        <f>_xlfn.IFNA(VLOOKUP(Table2[[#This Row],[tee time7]],'Turkey Shoot - groups'!$A$3:$F$20,5,FALSE),"")</f>
        <v/>
      </c>
      <c r="AS175" s="68" t="str">
        <f>IF(AND(Table2[[#This Row],[gap7]]="NA",Table2[[#This Row],[round7]]&lt;4/24),0,IFERROR((MAX(starting_interval,IF(Table2[[#This Row],[gap7]]="NA",Table2[[#This Row],[avg gap]],Table2[[#This Row],[gap7]]))-starting_interval)*Table2[[#This Row],[followers7]]/Table2[[#This Row],[group size7]],""))</f>
        <v/>
      </c>
      <c r="AT175" s="72">
        <f>COUNT(Table2[[#This Row],[Tee time1]],Table2[[#This Row],[tee time2]],Table2[[#This Row],[tee time3]],Table2[[#This Row],[tee time4]],Table2[[#This Row],[tee time5]],Table2[[#This Row],[tee time6]],Table2[[#This Row],[tee time7]])</f>
        <v>0</v>
      </c>
      <c r="AU175" s="4" t="str">
        <f>IFERROR(AVERAGE(Table2[[#This Row],[Tee time1]],Table2[[#This Row],[tee time2]],Table2[[#This Row],[tee time3]],Table2[[#This Row],[tee time4]],Table2[[#This Row],[tee time5]],Table2[[#This Row],[tee time6]],Table2[[#This Row],[tee time7]]),"")</f>
        <v/>
      </c>
      <c r="AV175" s="11" t="str">
        <f>IFERROR(MEDIAN(Table2[[#This Row],[round1]],Table2[[#This Row],[Round2]],Table2[[#This Row],[round3]],Table2[[#This Row],[round4]],Table2[[#This Row],[round5]],Table2[[#This Row],[round6]],Table2[[#This Row],[round7]]),"")</f>
        <v/>
      </c>
      <c r="AW175" s="11" t="str">
        <f>IFERROR(AVERAGE(Table2[[#This Row],[gap1]],Table2[[#This Row],[gap2]],Table2[[#This Row],[gap3]],Table2[[#This Row],[gap4]],Table2[[#This Row],[gap5]],Table2[[#This Row],[gap6]],Table2[[#This Row],[gap7]]),"")</f>
        <v/>
      </c>
      <c r="AX175" s="9" t="str">
        <f>IFERROR((Table2[[#This Row],[avg gap]]-starting_interval)*24*60*Table2[[#This Row],[Count]],"NA")</f>
        <v>NA</v>
      </c>
      <c r="AY175"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75" s="2"/>
    </row>
    <row r="176" spans="1:52" hidden="1" x14ac:dyDescent="0.3">
      <c r="A176" s="10" t="s">
        <v>94</v>
      </c>
      <c r="B176" s="1" t="s">
        <v>333</v>
      </c>
      <c r="C176" s="19">
        <v>7.9</v>
      </c>
      <c r="D176" s="32" t="str">
        <f>_xlfn.IFNA(VLOOKUP(Table2[[#This Row],[Name]],'Classic day 1 - players'!$A$2:$B$64,2,FALSE),"")</f>
        <v/>
      </c>
      <c r="E176" s="33" t="str">
        <f>IF(Table2[[#This Row],[Tee time1]]&lt;&gt;"",COUNTIF('Classic day 1 - players'!$B$2:$B$64,"="&amp;Table2[[#This Row],[Tee time1]]),"")</f>
        <v/>
      </c>
      <c r="F176" s="4" t="str">
        <f>_xlfn.IFNA(VLOOKUP(Table2[[#This Row],[Tee time1]],'Classic day 1 - groups'!$A$3:$F$20,6,FALSE),"")</f>
        <v/>
      </c>
      <c r="G176" s="11" t="str">
        <f>_xlfn.IFNA(VLOOKUP(Table2[[#This Row],[Tee time1]],'Classic day 1 - groups'!$A$3:$F$20,4,FALSE),"")</f>
        <v/>
      </c>
      <c r="H176" s="12" t="str">
        <f>_xlfn.IFNA(VLOOKUP(Table2[[#This Row],[Tee time1]],'Classic day 1 - groups'!$A$3:$F$20,5,FALSE),"")</f>
        <v/>
      </c>
      <c r="I176" s="69" t="str">
        <f>IFERROR((MAX(starting_interval,IF(Table2[[#This Row],[gap1]]="NA",Table2[[#This Row],[avg gap]],Table2[[#This Row],[gap1]]))-starting_interval)*Table2[[#This Row],[followers1]]/Table2[[#This Row],[group size]],"")</f>
        <v/>
      </c>
      <c r="J176" s="32" t="str">
        <f>_xlfn.IFNA(VLOOKUP(Table2[[#This Row],[Name]],'Classic day 2 - players'!$A$2:$B$64,2,FALSE),"")</f>
        <v/>
      </c>
      <c r="K176" s="4" t="str">
        <f>IF(Table2[[#This Row],[tee time2]]&lt;&gt;"",COUNTIF('Classic day 2 - players'!$B$2:$B$64,"="&amp;Table2[[#This Row],[tee time2]]),"")</f>
        <v/>
      </c>
      <c r="L176" s="4" t="str">
        <f>_xlfn.IFNA(VLOOKUP(Table2[[#This Row],[tee time2]],'Classic day 2 - groups'!$A$3:$F$20,6,FALSE),"")</f>
        <v/>
      </c>
      <c r="M176" s="4" t="str">
        <f>_xlfn.IFNA(VLOOKUP(Table2[[#This Row],[tee time2]],'Classic day 2 - groups'!$A$3:$F$20,4,FALSE),"")</f>
        <v/>
      </c>
      <c r="N176" s="65" t="str">
        <f>_xlfn.IFNA(VLOOKUP(Table2[[#This Row],[tee time2]],'Classic day 2 - groups'!$A$3:$F$20,5,FALSE),"")</f>
        <v/>
      </c>
      <c r="O176" s="69" t="str">
        <f>IFERROR((MAX(starting_interval,IF(Table2[[#This Row],[gap2]]="NA",Table2[[#This Row],[avg gap]],Table2[[#This Row],[gap2]]))-starting_interval)*Table2[[#This Row],[followers2]]/Table2[[#This Row],[group size2]],"")</f>
        <v/>
      </c>
      <c r="P176" s="32" t="str">
        <f>_xlfn.IFNA(VLOOKUP(Table2[[#This Row],[Name]],'Summer FD - players'!$A$2:$B$65,2,FALSE),"")</f>
        <v/>
      </c>
      <c r="Q176" s="59" t="str">
        <f>IF(Table2[[#This Row],[tee time3]]&lt;&gt;"",COUNTIF('Summer FD - players'!$B$2:$B$65,"="&amp;Table2[[#This Row],[tee time3]]),"")</f>
        <v/>
      </c>
      <c r="R176" s="59" t="str">
        <f>_xlfn.IFNA(VLOOKUP(Table2[[#This Row],[tee time3]],'Summer FD - groups'!$A$3:$F$20,6,FALSE),"")</f>
        <v/>
      </c>
      <c r="S176" s="4" t="str">
        <f>_xlfn.IFNA(VLOOKUP(Table2[[#This Row],[tee time3]],'Summer FD - groups'!$A$3:$F$20,4,FALSE),"")</f>
        <v/>
      </c>
      <c r="T176" s="13" t="str">
        <f>_xlfn.IFNA(VLOOKUP(Table2[[#This Row],[tee time3]],'Summer FD - groups'!$A$3:$F$20,5,FALSE),"")</f>
        <v/>
      </c>
      <c r="U176" s="69" t="str">
        <f>IF(Table2[[#This Row],[avg gap]]&lt;&gt;"",IFERROR((MAX(starting_interval,IF(Table2[[#This Row],[gap3]]="NA",Table2[[#This Row],[avg gap]],Table2[[#This Row],[gap3]]))-starting_interval)*Table2[[#This Row],[followers3]]/Table2[[#This Row],[group size3]],""),"")</f>
        <v/>
      </c>
      <c r="V176" s="32" t="str">
        <f>_xlfn.IFNA(VLOOKUP(Table2[[#This Row],[Name]],'6-6-6 - players'!$A$2:$B$69,2,FALSE),"")</f>
        <v/>
      </c>
      <c r="W176" s="59" t="str">
        <f>IF(Table2[[#This Row],[tee time4]]&lt;&gt;"",COUNTIF('6-6-6 - players'!$B$2:$B$69,"="&amp;Table2[[#This Row],[tee time4]]),"")</f>
        <v/>
      </c>
      <c r="X176" s="59" t="str">
        <f>_xlfn.IFNA(VLOOKUP(Table2[[#This Row],[tee time4]],'6-6-6 - groups'!$A$3:$F$20,6,FALSE),"")</f>
        <v/>
      </c>
      <c r="Y176" s="4" t="str">
        <f>_xlfn.IFNA(VLOOKUP(Table2[[#This Row],[tee time4]],'6-6-6 - groups'!$A$3:$F$20,4,FALSE),"")</f>
        <v/>
      </c>
      <c r="Z176" s="13" t="str">
        <f>_xlfn.IFNA(VLOOKUP(Table2[[#This Row],[tee time4]],'6-6-6 - groups'!$A$3:$F$20,5,FALSE),"")</f>
        <v/>
      </c>
      <c r="AA176" s="69" t="str">
        <f>IF(Table2[[#This Row],[avg gap]]&lt;&gt;"",IFERROR((MAX(starting_interval,IF(Table2[[#This Row],[gap4]]="NA",Table2[[#This Row],[avg gap]],Table2[[#This Row],[gap4]]))-starting_interval)*Table2[[#This Row],[followers4]]/Table2[[#This Row],[group size4]],""),"")</f>
        <v/>
      </c>
      <c r="AB176" s="32" t="str">
        <f>_xlfn.IFNA(VLOOKUP(Table2[[#This Row],[Name]],'Fall FD - players'!$A$2:$B$65,2,FALSE),"")</f>
        <v/>
      </c>
      <c r="AC176" s="59" t="str">
        <f>IF(Table2[[#This Row],[tee time5]]&lt;&gt;"",COUNTIF('Fall FD - players'!$B$2:$B$65,"="&amp;Table2[[#This Row],[tee time5]]),"")</f>
        <v/>
      </c>
      <c r="AD176" s="59" t="str">
        <f>_xlfn.IFNA(VLOOKUP(Table2[[#This Row],[tee time5]],'Fall FD - groups'!$A$3:$F$20,6,FALSE),"")</f>
        <v/>
      </c>
      <c r="AE176" s="4" t="str">
        <f>_xlfn.IFNA(VLOOKUP(Table2[[#This Row],[tee time5]],'Fall FD - groups'!$A$3:$F$20,4,FALSE),"")</f>
        <v/>
      </c>
      <c r="AF176" s="13" t="str">
        <f>IFERROR(MIN(_xlfn.IFNA(VLOOKUP(Table2[[#This Row],[tee time5]],'Fall FD - groups'!$A$3:$F$20,5,FALSE),""),starting_interval + Table2[[#This Row],[round5]] - standard_round_time),"")</f>
        <v/>
      </c>
      <c r="AG176" s="69" t="str">
        <f>IF(AND(Table2[[#This Row],[gap5]]="NA",Table2[[#This Row],[round5]]&lt;4/24),0,IFERROR((MAX(starting_interval,IF(Table2[[#This Row],[gap5]]="NA",Table2[[#This Row],[avg gap]],Table2[[#This Row],[gap5]]))-starting_interval)*Table2[[#This Row],[followers5]]/Table2[[#This Row],[group size5]],""))</f>
        <v/>
      </c>
      <c r="AH176" s="32" t="str">
        <f>_xlfn.IFNA(VLOOKUP(Table2[[#This Row],[Name]],'Stableford - players'!$A$2:$B$65,2,FALSE),"")</f>
        <v/>
      </c>
      <c r="AI176" s="59" t="str">
        <f>IF(Table2[[#This Row],[tee time6]]&lt;&gt;"",COUNTIF('Stableford - players'!$B$2:$B$65,"="&amp;Table2[[#This Row],[tee time6]]),"")</f>
        <v/>
      </c>
      <c r="AJ176" s="59" t="str">
        <f>_xlfn.IFNA(VLOOKUP(Table2[[#This Row],[tee time6]],'Stableford - groups'!$A$3:$F$20,6,FALSE),"")</f>
        <v/>
      </c>
      <c r="AK176" s="11" t="str">
        <f>_xlfn.IFNA(VLOOKUP(Table2[[#This Row],[tee time6]],'Stableford - groups'!$A$3:$F$20,4,FALSE),"")</f>
        <v/>
      </c>
      <c r="AL176" s="13" t="str">
        <f>_xlfn.IFNA(VLOOKUP(Table2[[#This Row],[tee time6]],'Stableford - groups'!$A$3:$F$20,5,FALSE),"")</f>
        <v/>
      </c>
      <c r="AM176" s="68" t="str">
        <f>IF(AND(Table2[[#This Row],[gap6]]="NA",Table2[[#This Row],[round6]]&lt;4/24),0,IFERROR((MAX(starting_interval,IF(Table2[[#This Row],[gap6]]="NA",Table2[[#This Row],[avg gap]],Table2[[#This Row],[gap6]]))-starting_interval)*Table2[[#This Row],[followers6]]/Table2[[#This Row],[group size6]],""))</f>
        <v/>
      </c>
      <c r="AN176" s="32" t="str">
        <f>_xlfn.IFNA(VLOOKUP(Table2[[#This Row],[Name]],'Turkey Shoot - players'!$A$2:$B$65,2,FALSE),"")</f>
        <v/>
      </c>
      <c r="AO176" s="59" t="str">
        <f>IF(Table2[[#This Row],[tee time7]]&lt;&gt;"",COUNTIF('Turkey Shoot - players'!$B$2:$B$65,"="&amp;Table2[[#This Row],[tee time7]]),"")</f>
        <v/>
      </c>
      <c r="AP176" s="59" t="str">
        <f>_xlfn.IFNA(VLOOKUP(Table2[[#This Row],[tee time7]],'Stableford - groups'!$A$3:$F$20,6,FALSE),"")</f>
        <v/>
      </c>
      <c r="AQ176" s="11" t="str">
        <f>_xlfn.IFNA(VLOOKUP(Table2[[#This Row],[tee time7]],'Turkey Shoot - groups'!$A$3:$F$20,4,FALSE),"")</f>
        <v/>
      </c>
      <c r="AR176" s="13" t="str">
        <f>_xlfn.IFNA(VLOOKUP(Table2[[#This Row],[tee time7]],'Turkey Shoot - groups'!$A$3:$F$20,5,FALSE),"")</f>
        <v/>
      </c>
      <c r="AS176" s="68" t="str">
        <f>IF(AND(Table2[[#This Row],[gap7]]="NA",Table2[[#This Row],[round7]]&lt;4/24),0,IFERROR((MAX(starting_interval,IF(Table2[[#This Row],[gap7]]="NA",Table2[[#This Row],[avg gap]],Table2[[#This Row],[gap7]]))-starting_interval)*Table2[[#This Row],[followers7]]/Table2[[#This Row],[group size7]],""))</f>
        <v/>
      </c>
      <c r="AT176" s="72">
        <f>COUNT(Table2[[#This Row],[Tee time1]],Table2[[#This Row],[tee time2]],Table2[[#This Row],[tee time3]],Table2[[#This Row],[tee time4]],Table2[[#This Row],[tee time5]],Table2[[#This Row],[tee time6]],Table2[[#This Row],[tee time7]])</f>
        <v>0</v>
      </c>
      <c r="AU176" s="4" t="str">
        <f>IFERROR(AVERAGE(Table2[[#This Row],[Tee time1]],Table2[[#This Row],[tee time2]],Table2[[#This Row],[tee time3]],Table2[[#This Row],[tee time4]],Table2[[#This Row],[tee time5]],Table2[[#This Row],[tee time6]],Table2[[#This Row],[tee time7]]),"")</f>
        <v/>
      </c>
      <c r="AV176" s="11" t="str">
        <f>IFERROR(MEDIAN(Table2[[#This Row],[round1]],Table2[[#This Row],[Round2]],Table2[[#This Row],[round3]],Table2[[#This Row],[round4]],Table2[[#This Row],[round5]],Table2[[#This Row],[round6]],Table2[[#This Row],[round7]]),"")</f>
        <v/>
      </c>
      <c r="AW176" s="11" t="str">
        <f>IFERROR(AVERAGE(Table2[[#This Row],[gap1]],Table2[[#This Row],[gap2]],Table2[[#This Row],[gap3]],Table2[[#This Row],[gap4]],Table2[[#This Row],[gap5]],Table2[[#This Row],[gap6]],Table2[[#This Row],[gap7]]),"")</f>
        <v/>
      </c>
      <c r="AX176" s="9" t="str">
        <f>IFERROR((Table2[[#This Row],[avg gap]]-starting_interval)*24*60*Table2[[#This Row],[Count]],"NA")</f>
        <v>NA</v>
      </c>
      <c r="AY176"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76" s="2"/>
    </row>
    <row r="177" spans="1:52" hidden="1" x14ac:dyDescent="0.3">
      <c r="A177" s="10" t="s">
        <v>98</v>
      </c>
      <c r="B177" s="1" t="s">
        <v>337</v>
      </c>
      <c r="C177" s="19">
        <v>11.1</v>
      </c>
      <c r="D177" s="32" t="str">
        <f>_xlfn.IFNA(VLOOKUP(Table2[[#This Row],[Name]],'Classic day 1 - players'!$A$2:$B$64,2,FALSE),"")</f>
        <v/>
      </c>
      <c r="E177" s="33" t="str">
        <f>IF(Table2[[#This Row],[Tee time1]]&lt;&gt;"",COUNTIF('Classic day 1 - players'!$B$2:$B$64,"="&amp;Table2[[#This Row],[Tee time1]]),"")</f>
        <v/>
      </c>
      <c r="F177" s="4" t="str">
        <f>_xlfn.IFNA(VLOOKUP(Table2[[#This Row],[Tee time1]],'Classic day 1 - groups'!$A$3:$F$20,6,FALSE),"")</f>
        <v/>
      </c>
      <c r="G177" s="11" t="str">
        <f>_xlfn.IFNA(VLOOKUP(Table2[[#This Row],[Tee time1]],'Classic day 1 - groups'!$A$3:$F$20,4,FALSE),"")</f>
        <v/>
      </c>
      <c r="H177" s="12" t="str">
        <f>_xlfn.IFNA(VLOOKUP(Table2[[#This Row],[Tee time1]],'Classic day 1 - groups'!$A$3:$F$20,5,FALSE),"")</f>
        <v/>
      </c>
      <c r="I177" s="69" t="str">
        <f>IFERROR((MAX(starting_interval,IF(Table2[[#This Row],[gap1]]="NA",Table2[[#This Row],[avg gap]],Table2[[#This Row],[gap1]]))-starting_interval)*Table2[[#This Row],[followers1]]/Table2[[#This Row],[group size]],"")</f>
        <v/>
      </c>
      <c r="J177" s="32" t="str">
        <f>_xlfn.IFNA(VLOOKUP(Table2[[#This Row],[Name]],'Classic day 2 - players'!$A$2:$B$64,2,FALSE),"")</f>
        <v/>
      </c>
      <c r="K177" s="4" t="str">
        <f>IF(Table2[[#This Row],[tee time2]]&lt;&gt;"",COUNTIF('Classic day 2 - players'!$B$2:$B$64,"="&amp;Table2[[#This Row],[tee time2]]),"")</f>
        <v/>
      </c>
      <c r="L177" s="4" t="str">
        <f>_xlfn.IFNA(VLOOKUP(Table2[[#This Row],[tee time2]],'Classic day 2 - groups'!$A$3:$F$20,6,FALSE),"")</f>
        <v/>
      </c>
      <c r="M177" s="4" t="str">
        <f>_xlfn.IFNA(VLOOKUP(Table2[[#This Row],[tee time2]],'Classic day 2 - groups'!$A$3:$F$20,4,FALSE),"")</f>
        <v/>
      </c>
      <c r="N177" s="65" t="str">
        <f>_xlfn.IFNA(VLOOKUP(Table2[[#This Row],[tee time2]],'Classic day 2 - groups'!$A$3:$F$20,5,FALSE),"")</f>
        <v/>
      </c>
      <c r="O177" s="69" t="str">
        <f>IFERROR((MAX(starting_interval,IF(Table2[[#This Row],[gap2]]="NA",Table2[[#This Row],[avg gap]],Table2[[#This Row],[gap2]]))-starting_interval)*Table2[[#This Row],[followers2]]/Table2[[#This Row],[group size2]],"")</f>
        <v/>
      </c>
      <c r="P177" s="32" t="str">
        <f>_xlfn.IFNA(VLOOKUP(Table2[[#This Row],[Name]],'Summer FD - players'!$A$2:$B$65,2,FALSE),"")</f>
        <v/>
      </c>
      <c r="Q177" s="59" t="str">
        <f>IF(Table2[[#This Row],[tee time3]]&lt;&gt;"",COUNTIF('Summer FD - players'!$B$2:$B$65,"="&amp;Table2[[#This Row],[tee time3]]),"")</f>
        <v/>
      </c>
      <c r="R177" s="59" t="str">
        <f>_xlfn.IFNA(VLOOKUP(Table2[[#This Row],[tee time3]],'Summer FD - groups'!$A$3:$F$20,6,FALSE),"")</f>
        <v/>
      </c>
      <c r="S177" s="4" t="str">
        <f>_xlfn.IFNA(VLOOKUP(Table2[[#This Row],[tee time3]],'Summer FD - groups'!$A$3:$F$20,4,FALSE),"")</f>
        <v/>
      </c>
      <c r="T177" s="13" t="str">
        <f>_xlfn.IFNA(VLOOKUP(Table2[[#This Row],[tee time3]],'Summer FD - groups'!$A$3:$F$20,5,FALSE),"")</f>
        <v/>
      </c>
      <c r="U177" s="69" t="str">
        <f>IF(Table2[[#This Row],[avg gap]]&lt;&gt;"",IFERROR((MAX(starting_interval,IF(Table2[[#This Row],[gap3]]="NA",Table2[[#This Row],[avg gap]],Table2[[#This Row],[gap3]]))-starting_interval)*Table2[[#This Row],[followers3]]/Table2[[#This Row],[group size3]],""),"")</f>
        <v/>
      </c>
      <c r="V177" s="32" t="str">
        <f>_xlfn.IFNA(VLOOKUP(Table2[[#This Row],[Name]],'6-6-6 - players'!$A$2:$B$69,2,FALSE),"")</f>
        <v/>
      </c>
      <c r="W177" s="59" t="str">
        <f>IF(Table2[[#This Row],[tee time4]]&lt;&gt;"",COUNTIF('6-6-6 - players'!$B$2:$B$69,"="&amp;Table2[[#This Row],[tee time4]]),"")</f>
        <v/>
      </c>
      <c r="X177" s="59" t="str">
        <f>_xlfn.IFNA(VLOOKUP(Table2[[#This Row],[tee time4]],'6-6-6 - groups'!$A$3:$F$20,6,FALSE),"")</f>
        <v/>
      </c>
      <c r="Y177" s="4" t="str">
        <f>_xlfn.IFNA(VLOOKUP(Table2[[#This Row],[tee time4]],'6-6-6 - groups'!$A$3:$F$20,4,FALSE),"")</f>
        <v/>
      </c>
      <c r="Z177" s="13" t="str">
        <f>_xlfn.IFNA(VLOOKUP(Table2[[#This Row],[tee time4]],'6-6-6 - groups'!$A$3:$F$20,5,FALSE),"")</f>
        <v/>
      </c>
      <c r="AA177" s="69" t="str">
        <f>IF(Table2[[#This Row],[avg gap]]&lt;&gt;"",IFERROR((MAX(starting_interval,IF(Table2[[#This Row],[gap4]]="NA",Table2[[#This Row],[avg gap]],Table2[[#This Row],[gap4]]))-starting_interval)*Table2[[#This Row],[followers4]]/Table2[[#This Row],[group size4]],""),"")</f>
        <v/>
      </c>
      <c r="AB177" s="32" t="str">
        <f>_xlfn.IFNA(VLOOKUP(Table2[[#This Row],[Name]],'Fall FD - players'!$A$2:$B$65,2,FALSE),"")</f>
        <v/>
      </c>
      <c r="AC177" s="59" t="str">
        <f>IF(Table2[[#This Row],[tee time5]]&lt;&gt;"",COUNTIF('Fall FD - players'!$B$2:$B$65,"="&amp;Table2[[#This Row],[tee time5]]),"")</f>
        <v/>
      </c>
      <c r="AD177" s="59" t="str">
        <f>_xlfn.IFNA(VLOOKUP(Table2[[#This Row],[tee time5]],'Fall FD - groups'!$A$3:$F$20,6,FALSE),"")</f>
        <v/>
      </c>
      <c r="AE177" s="4" t="str">
        <f>_xlfn.IFNA(VLOOKUP(Table2[[#This Row],[tee time5]],'Fall FD - groups'!$A$3:$F$20,4,FALSE),"")</f>
        <v/>
      </c>
      <c r="AF177" s="13" t="str">
        <f>IFERROR(MIN(_xlfn.IFNA(VLOOKUP(Table2[[#This Row],[tee time5]],'Fall FD - groups'!$A$3:$F$20,5,FALSE),""),starting_interval + Table2[[#This Row],[round5]] - standard_round_time),"")</f>
        <v/>
      </c>
      <c r="AG177" s="69" t="str">
        <f>IF(AND(Table2[[#This Row],[gap5]]="NA",Table2[[#This Row],[round5]]&lt;4/24),0,IFERROR((MAX(starting_interval,IF(Table2[[#This Row],[gap5]]="NA",Table2[[#This Row],[avg gap]],Table2[[#This Row],[gap5]]))-starting_interval)*Table2[[#This Row],[followers5]]/Table2[[#This Row],[group size5]],""))</f>
        <v/>
      </c>
      <c r="AH177" s="32" t="str">
        <f>_xlfn.IFNA(VLOOKUP(Table2[[#This Row],[Name]],'Stableford - players'!$A$2:$B$65,2,FALSE),"")</f>
        <v/>
      </c>
      <c r="AI177" s="59" t="str">
        <f>IF(Table2[[#This Row],[tee time6]]&lt;&gt;"",COUNTIF('Stableford - players'!$B$2:$B$65,"="&amp;Table2[[#This Row],[tee time6]]),"")</f>
        <v/>
      </c>
      <c r="AJ177" s="59" t="str">
        <f>_xlfn.IFNA(VLOOKUP(Table2[[#This Row],[tee time6]],'Stableford - groups'!$A$3:$F$20,6,FALSE),"")</f>
        <v/>
      </c>
      <c r="AK177" s="11" t="str">
        <f>_xlfn.IFNA(VLOOKUP(Table2[[#This Row],[tee time6]],'Stableford - groups'!$A$3:$F$20,4,FALSE),"")</f>
        <v/>
      </c>
      <c r="AL177" s="13" t="str">
        <f>_xlfn.IFNA(VLOOKUP(Table2[[#This Row],[tee time6]],'Stableford - groups'!$A$3:$F$20,5,FALSE),"")</f>
        <v/>
      </c>
      <c r="AM177" s="68" t="str">
        <f>IF(AND(Table2[[#This Row],[gap6]]="NA",Table2[[#This Row],[round6]]&lt;4/24),0,IFERROR((MAX(starting_interval,IF(Table2[[#This Row],[gap6]]="NA",Table2[[#This Row],[avg gap]],Table2[[#This Row],[gap6]]))-starting_interval)*Table2[[#This Row],[followers6]]/Table2[[#This Row],[group size6]],""))</f>
        <v/>
      </c>
      <c r="AN177" s="32" t="str">
        <f>_xlfn.IFNA(VLOOKUP(Table2[[#This Row],[Name]],'Turkey Shoot - players'!$A$2:$B$65,2,FALSE),"")</f>
        <v/>
      </c>
      <c r="AO177" s="59" t="str">
        <f>IF(Table2[[#This Row],[tee time7]]&lt;&gt;"",COUNTIF('Turkey Shoot - players'!$B$2:$B$65,"="&amp;Table2[[#This Row],[tee time7]]),"")</f>
        <v/>
      </c>
      <c r="AP177" s="59" t="str">
        <f>_xlfn.IFNA(VLOOKUP(Table2[[#This Row],[tee time7]],'Stableford - groups'!$A$3:$F$20,6,FALSE),"")</f>
        <v/>
      </c>
      <c r="AQ177" s="11" t="str">
        <f>_xlfn.IFNA(VLOOKUP(Table2[[#This Row],[tee time7]],'Turkey Shoot - groups'!$A$3:$F$20,4,FALSE),"")</f>
        <v/>
      </c>
      <c r="AR177" s="13" t="str">
        <f>_xlfn.IFNA(VLOOKUP(Table2[[#This Row],[tee time7]],'Turkey Shoot - groups'!$A$3:$F$20,5,FALSE),"")</f>
        <v/>
      </c>
      <c r="AS177" s="68" t="str">
        <f>IF(AND(Table2[[#This Row],[gap7]]="NA",Table2[[#This Row],[round7]]&lt;4/24),0,IFERROR((MAX(starting_interval,IF(Table2[[#This Row],[gap7]]="NA",Table2[[#This Row],[avg gap]],Table2[[#This Row],[gap7]]))-starting_interval)*Table2[[#This Row],[followers7]]/Table2[[#This Row],[group size7]],""))</f>
        <v/>
      </c>
      <c r="AT177" s="72">
        <f>COUNT(Table2[[#This Row],[Tee time1]],Table2[[#This Row],[tee time2]],Table2[[#This Row],[tee time3]],Table2[[#This Row],[tee time4]],Table2[[#This Row],[tee time5]],Table2[[#This Row],[tee time6]],Table2[[#This Row],[tee time7]])</f>
        <v>0</v>
      </c>
      <c r="AU177" s="4" t="str">
        <f>IFERROR(AVERAGE(Table2[[#This Row],[Tee time1]],Table2[[#This Row],[tee time2]],Table2[[#This Row],[tee time3]],Table2[[#This Row],[tee time4]],Table2[[#This Row],[tee time5]],Table2[[#This Row],[tee time6]],Table2[[#This Row],[tee time7]]),"")</f>
        <v/>
      </c>
      <c r="AV177" s="11" t="str">
        <f>IFERROR(MEDIAN(Table2[[#This Row],[round1]],Table2[[#This Row],[Round2]],Table2[[#This Row],[round3]],Table2[[#This Row],[round4]],Table2[[#This Row],[round5]],Table2[[#This Row],[round6]],Table2[[#This Row],[round7]]),"")</f>
        <v/>
      </c>
      <c r="AW177" s="11" t="str">
        <f>IFERROR(AVERAGE(Table2[[#This Row],[gap1]],Table2[[#This Row],[gap2]],Table2[[#This Row],[gap3]],Table2[[#This Row],[gap4]],Table2[[#This Row],[gap5]],Table2[[#This Row],[gap6]],Table2[[#This Row],[gap7]]),"")</f>
        <v/>
      </c>
      <c r="AX177" s="9" t="str">
        <f>IFERROR((Table2[[#This Row],[avg gap]]-starting_interval)*24*60*Table2[[#This Row],[Count]],"NA")</f>
        <v>NA</v>
      </c>
      <c r="AY177"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77" s="2"/>
    </row>
    <row r="178" spans="1:52" hidden="1" x14ac:dyDescent="0.3">
      <c r="A178" s="10" t="s">
        <v>100</v>
      </c>
      <c r="B178" s="1" t="s">
        <v>339</v>
      </c>
      <c r="C178" s="19">
        <v>6.8</v>
      </c>
      <c r="D178" s="32" t="str">
        <f>_xlfn.IFNA(VLOOKUP(Table2[[#This Row],[Name]],'Classic day 1 - players'!$A$2:$B$64,2,FALSE),"")</f>
        <v/>
      </c>
      <c r="E178" s="33" t="str">
        <f>IF(Table2[[#This Row],[Tee time1]]&lt;&gt;"",COUNTIF('Classic day 1 - players'!$B$2:$B$64,"="&amp;Table2[[#This Row],[Tee time1]]),"")</f>
        <v/>
      </c>
      <c r="F178" s="4" t="str">
        <f>_xlfn.IFNA(VLOOKUP(Table2[[#This Row],[Tee time1]],'Classic day 1 - groups'!$A$3:$F$20,6,FALSE),"")</f>
        <v/>
      </c>
      <c r="G178" s="11" t="str">
        <f>_xlfn.IFNA(VLOOKUP(Table2[[#This Row],[Tee time1]],'Classic day 1 - groups'!$A$3:$F$20,4,FALSE),"")</f>
        <v/>
      </c>
      <c r="H178" s="12" t="str">
        <f>_xlfn.IFNA(VLOOKUP(Table2[[#This Row],[Tee time1]],'Classic day 1 - groups'!$A$3:$F$20,5,FALSE),"")</f>
        <v/>
      </c>
      <c r="I178" s="69" t="str">
        <f>IFERROR((MAX(starting_interval,IF(Table2[[#This Row],[gap1]]="NA",Table2[[#This Row],[avg gap]],Table2[[#This Row],[gap1]]))-starting_interval)*Table2[[#This Row],[followers1]]/Table2[[#This Row],[group size]],"")</f>
        <v/>
      </c>
      <c r="J178" s="32" t="str">
        <f>_xlfn.IFNA(VLOOKUP(Table2[[#This Row],[Name]],'Classic day 2 - players'!$A$2:$B$64,2,FALSE),"")</f>
        <v/>
      </c>
      <c r="K178" s="4" t="str">
        <f>IF(Table2[[#This Row],[tee time2]]&lt;&gt;"",COUNTIF('Classic day 2 - players'!$B$2:$B$64,"="&amp;Table2[[#This Row],[tee time2]]),"")</f>
        <v/>
      </c>
      <c r="L178" s="4" t="str">
        <f>_xlfn.IFNA(VLOOKUP(Table2[[#This Row],[tee time2]],'Classic day 2 - groups'!$A$3:$F$20,6,FALSE),"")</f>
        <v/>
      </c>
      <c r="M178" s="4" t="str">
        <f>_xlfn.IFNA(VLOOKUP(Table2[[#This Row],[tee time2]],'Classic day 2 - groups'!$A$3:$F$20,4,FALSE),"")</f>
        <v/>
      </c>
      <c r="N178" s="65" t="str">
        <f>_xlfn.IFNA(VLOOKUP(Table2[[#This Row],[tee time2]],'Classic day 2 - groups'!$A$3:$F$20,5,FALSE),"")</f>
        <v/>
      </c>
      <c r="O178" s="69" t="str">
        <f>IFERROR((MAX(starting_interval,IF(Table2[[#This Row],[gap2]]="NA",Table2[[#This Row],[avg gap]],Table2[[#This Row],[gap2]]))-starting_interval)*Table2[[#This Row],[followers2]]/Table2[[#This Row],[group size2]],"")</f>
        <v/>
      </c>
      <c r="P178" s="32" t="str">
        <f>_xlfn.IFNA(VLOOKUP(Table2[[#This Row],[Name]],'Summer FD - players'!$A$2:$B$65,2,FALSE),"")</f>
        <v/>
      </c>
      <c r="Q178" s="59" t="str">
        <f>IF(Table2[[#This Row],[tee time3]]&lt;&gt;"",COUNTIF('Summer FD - players'!$B$2:$B$65,"="&amp;Table2[[#This Row],[tee time3]]),"")</f>
        <v/>
      </c>
      <c r="R178" s="59" t="str">
        <f>_xlfn.IFNA(VLOOKUP(Table2[[#This Row],[tee time3]],'Summer FD - groups'!$A$3:$F$20,6,FALSE),"")</f>
        <v/>
      </c>
      <c r="S178" s="4" t="str">
        <f>_xlfn.IFNA(VLOOKUP(Table2[[#This Row],[tee time3]],'Summer FD - groups'!$A$3:$F$20,4,FALSE),"")</f>
        <v/>
      </c>
      <c r="T178" s="13" t="str">
        <f>_xlfn.IFNA(VLOOKUP(Table2[[#This Row],[tee time3]],'Summer FD - groups'!$A$3:$F$20,5,FALSE),"")</f>
        <v/>
      </c>
      <c r="U178" s="69" t="str">
        <f>IF(Table2[[#This Row],[avg gap]]&lt;&gt;"",IFERROR((MAX(starting_interval,IF(Table2[[#This Row],[gap3]]="NA",Table2[[#This Row],[avg gap]],Table2[[#This Row],[gap3]]))-starting_interval)*Table2[[#This Row],[followers3]]/Table2[[#This Row],[group size3]],""),"")</f>
        <v/>
      </c>
      <c r="V178" s="32" t="str">
        <f>_xlfn.IFNA(VLOOKUP(Table2[[#This Row],[Name]],'6-6-6 - players'!$A$2:$B$69,2,FALSE),"")</f>
        <v/>
      </c>
      <c r="W178" s="59" t="str">
        <f>IF(Table2[[#This Row],[tee time4]]&lt;&gt;"",COUNTIF('6-6-6 - players'!$B$2:$B$69,"="&amp;Table2[[#This Row],[tee time4]]),"")</f>
        <v/>
      </c>
      <c r="X178" s="59" t="str">
        <f>_xlfn.IFNA(VLOOKUP(Table2[[#This Row],[tee time4]],'6-6-6 - groups'!$A$3:$F$20,6,FALSE),"")</f>
        <v/>
      </c>
      <c r="Y178" s="4" t="str">
        <f>_xlfn.IFNA(VLOOKUP(Table2[[#This Row],[tee time4]],'6-6-6 - groups'!$A$3:$F$20,4,FALSE),"")</f>
        <v/>
      </c>
      <c r="Z178" s="13" t="str">
        <f>_xlfn.IFNA(VLOOKUP(Table2[[#This Row],[tee time4]],'6-6-6 - groups'!$A$3:$F$20,5,FALSE),"")</f>
        <v/>
      </c>
      <c r="AA178" s="69" t="str">
        <f>IF(Table2[[#This Row],[avg gap]]&lt;&gt;"",IFERROR((MAX(starting_interval,IF(Table2[[#This Row],[gap4]]="NA",Table2[[#This Row],[avg gap]],Table2[[#This Row],[gap4]]))-starting_interval)*Table2[[#This Row],[followers4]]/Table2[[#This Row],[group size4]],""),"")</f>
        <v/>
      </c>
      <c r="AB178" s="32" t="str">
        <f>_xlfn.IFNA(VLOOKUP(Table2[[#This Row],[Name]],'Fall FD - players'!$A$2:$B$65,2,FALSE),"")</f>
        <v/>
      </c>
      <c r="AC178" s="59" t="str">
        <f>IF(Table2[[#This Row],[tee time5]]&lt;&gt;"",COUNTIF('Fall FD - players'!$B$2:$B$65,"="&amp;Table2[[#This Row],[tee time5]]),"")</f>
        <v/>
      </c>
      <c r="AD178" s="59" t="str">
        <f>_xlfn.IFNA(VLOOKUP(Table2[[#This Row],[tee time5]],'Fall FD - groups'!$A$3:$F$20,6,FALSE),"")</f>
        <v/>
      </c>
      <c r="AE178" s="4" t="str">
        <f>_xlfn.IFNA(VLOOKUP(Table2[[#This Row],[tee time5]],'Fall FD - groups'!$A$3:$F$20,4,FALSE),"")</f>
        <v/>
      </c>
      <c r="AF178" s="13" t="str">
        <f>IFERROR(MIN(_xlfn.IFNA(VLOOKUP(Table2[[#This Row],[tee time5]],'Fall FD - groups'!$A$3:$F$20,5,FALSE),""),starting_interval + Table2[[#This Row],[round5]] - standard_round_time),"")</f>
        <v/>
      </c>
      <c r="AG178" s="69" t="str">
        <f>IF(AND(Table2[[#This Row],[gap5]]="NA",Table2[[#This Row],[round5]]&lt;4/24),0,IFERROR((MAX(starting_interval,IF(Table2[[#This Row],[gap5]]="NA",Table2[[#This Row],[avg gap]],Table2[[#This Row],[gap5]]))-starting_interval)*Table2[[#This Row],[followers5]]/Table2[[#This Row],[group size5]],""))</f>
        <v/>
      </c>
      <c r="AH178" s="32" t="str">
        <f>_xlfn.IFNA(VLOOKUP(Table2[[#This Row],[Name]],'Stableford - players'!$A$2:$B$65,2,FALSE),"")</f>
        <v/>
      </c>
      <c r="AI178" s="59" t="str">
        <f>IF(Table2[[#This Row],[tee time6]]&lt;&gt;"",COUNTIF('Stableford - players'!$B$2:$B$65,"="&amp;Table2[[#This Row],[tee time6]]),"")</f>
        <v/>
      </c>
      <c r="AJ178" s="59" t="str">
        <f>_xlfn.IFNA(VLOOKUP(Table2[[#This Row],[tee time6]],'Stableford - groups'!$A$3:$F$20,6,FALSE),"")</f>
        <v/>
      </c>
      <c r="AK178" s="11" t="str">
        <f>_xlfn.IFNA(VLOOKUP(Table2[[#This Row],[tee time6]],'Stableford - groups'!$A$3:$F$20,4,FALSE),"")</f>
        <v/>
      </c>
      <c r="AL178" s="13" t="str">
        <f>_xlfn.IFNA(VLOOKUP(Table2[[#This Row],[tee time6]],'Stableford - groups'!$A$3:$F$20,5,FALSE),"")</f>
        <v/>
      </c>
      <c r="AM178" s="68" t="str">
        <f>IF(AND(Table2[[#This Row],[gap6]]="NA",Table2[[#This Row],[round6]]&lt;4/24),0,IFERROR((MAX(starting_interval,IF(Table2[[#This Row],[gap6]]="NA",Table2[[#This Row],[avg gap]],Table2[[#This Row],[gap6]]))-starting_interval)*Table2[[#This Row],[followers6]]/Table2[[#This Row],[group size6]],""))</f>
        <v/>
      </c>
      <c r="AN178" s="32" t="str">
        <f>_xlfn.IFNA(VLOOKUP(Table2[[#This Row],[Name]],'Turkey Shoot - players'!$A$2:$B$65,2,FALSE),"")</f>
        <v/>
      </c>
      <c r="AO178" s="59" t="str">
        <f>IF(Table2[[#This Row],[tee time7]]&lt;&gt;"",COUNTIF('Turkey Shoot - players'!$B$2:$B$65,"="&amp;Table2[[#This Row],[tee time7]]),"")</f>
        <v/>
      </c>
      <c r="AP178" s="59" t="str">
        <f>_xlfn.IFNA(VLOOKUP(Table2[[#This Row],[tee time7]],'Stableford - groups'!$A$3:$F$20,6,FALSE),"")</f>
        <v/>
      </c>
      <c r="AQ178" s="11" t="str">
        <f>_xlfn.IFNA(VLOOKUP(Table2[[#This Row],[tee time7]],'Turkey Shoot - groups'!$A$3:$F$20,4,FALSE),"")</f>
        <v/>
      </c>
      <c r="AR178" s="13" t="str">
        <f>_xlfn.IFNA(VLOOKUP(Table2[[#This Row],[tee time7]],'Turkey Shoot - groups'!$A$3:$F$20,5,FALSE),"")</f>
        <v/>
      </c>
      <c r="AS178" s="68" t="str">
        <f>IF(AND(Table2[[#This Row],[gap7]]="NA",Table2[[#This Row],[round7]]&lt;4/24),0,IFERROR((MAX(starting_interval,IF(Table2[[#This Row],[gap7]]="NA",Table2[[#This Row],[avg gap]],Table2[[#This Row],[gap7]]))-starting_interval)*Table2[[#This Row],[followers7]]/Table2[[#This Row],[group size7]],""))</f>
        <v/>
      </c>
      <c r="AT178" s="72">
        <f>COUNT(Table2[[#This Row],[Tee time1]],Table2[[#This Row],[tee time2]],Table2[[#This Row],[tee time3]],Table2[[#This Row],[tee time4]],Table2[[#This Row],[tee time5]],Table2[[#This Row],[tee time6]],Table2[[#This Row],[tee time7]])</f>
        <v>0</v>
      </c>
      <c r="AU178" s="4" t="str">
        <f>IFERROR(AVERAGE(Table2[[#This Row],[Tee time1]],Table2[[#This Row],[tee time2]],Table2[[#This Row],[tee time3]],Table2[[#This Row],[tee time4]],Table2[[#This Row],[tee time5]],Table2[[#This Row],[tee time6]],Table2[[#This Row],[tee time7]]),"")</f>
        <v/>
      </c>
      <c r="AV178" s="11" t="str">
        <f>IFERROR(MEDIAN(Table2[[#This Row],[round1]],Table2[[#This Row],[Round2]],Table2[[#This Row],[round3]],Table2[[#This Row],[round4]],Table2[[#This Row],[round5]],Table2[[#This Row],[round6]],Table2[[#This Row],[round7]]),"")</f>
        <v/>
      </c>
      <c r="AW178" s="11" t="str">
        <f>IFERROR(AVERAGE(Table2[[#This Row],[gap1]],Table2[[#This Row],[gap2]],Table2[[#This Row],[gap3]],Table2[[#This Row],[gap4]],Table2[[#This Row],[gap5]],Table2[[#This Row],[gap6]],Table2[[#This Row],[gap7]]),"")</f>
        <v/>
      </c>
      <c r="AX178" s="9" t="str">
        <f>IFERROR((Table2[[#This Row],[avg gap]]-starting_interval)*24*60*Table2[[#This Row],[Count]],"NA")</f>
        <v>NA</v>
      </c>
      <c r="AY178"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78" s="2"/>
    </row>
    <row r="179" spans="1:52" hidden="1" x14ac:dyDescent="0.3">
      <c r="A179" s="10" t="s">
        <v>215</v>
      </c>
      <c r="B179" s="1" t="s">
        <v>346</v>
      </c>
      <c r="C179" s="19">
        <v>22.6</v>
      </c>
      <c r="D179" s="32" t="str">
        <f>_xlfn.IFNA(VLOOKUP(Table2[[#This Row],[Name]],'Classic day 1 - players'!$A$2:$B$64,2,FALSE),"")</f>
        <v/>
      </c>
      <c r="E179" s="33" t="str">
        <f>IF(Table2[[#This Row],[Tee time1]]&lt;&gt;"",COUNTIF('Classic day 1 - players'!$B$2:$B$64,"="&amp;Table2[[#This Row],[Tee time1]]),"")</f>
        <v/>
      </c>
      <c r="F179" s="4" t="str">
        <f>_xlfn.IFNA(VLOOKUP(Table2[[#This Row],[Tee time1]],'Classic day 1 - groups'!$A$3:$F$20,6,FALSE),"")</f>
        <v/>
      </c>
      <c r="G179" s="11" t="str">
        <f>_xlfn.IFNA(VLOOKUP(Table2[[#This Row],[Tee time1]],'Classic day 1 - groups'!$A$3:$F$20,4,FALSE),"")</f>
        <v/>
      </c>
      <c r="H179" s="12" t="str">
        <f>_xlfn.IFNA(VLOOKUP(Table2[[#This Row],[Tee time1]],'Classic day 1 - groups'!$A$3:$F$20,5,FALSE),"")</f>
        <v/>
      </c>
      <c r="I179" s="69" t="str">
        <f>IFERROR((MAX(starting_interval,IF(Table2[[#This Row],[gap1]]="NA",Table2[[#This Row],[avg gap]],Table2[[#This Row],[gap1]]))-starting_interval)*Table2[[#This Row],[followers1]]/Table2[[#This Row],[group size]],"")</f>
        <v/>
      </c>
      <c r="J179" s="32" t="str">
        <f>_xlfn.IFNA(VLOOKUP(Table2[[#This Row],[Name]],'Classic day 2 - players'!$A$2:$B$64,2,FALSE),"")</f>
        <v/>
      </c>
      <c r="K179" s="4" t="str">
        <f>IF(Table2[[#This Row],[tee time2]]&lt;&gt;"",COUNTIF('Classic day 2 - players'!$B$2:$B$64,"="&amp;Table2[[#This Row],[tee time2]]),"")</f>
        <v/>
      </c>
      <c r="L179" s="4" t="str">
        <f>_xlfn.IFNA(VLOOKUP(Table2[[#This Row],[tee time2]],'Classic day 2 - groups'!$A$3:$F$20,6,FALSE),"")</f>
        <v/>
      </c>
      <c r="M179" s="4" t="str">
        <f>_xlfn.IFNA(VLOOKUP(Table2[[#This Row],[tee time2]],'Classic day 2 - groups'!$A$3:$F$20,4,FALSE),"")</f>
        <v/>
      </c>
      <c r="N179" s="65" t="str">
        <f>_xlfn.IFNA(VLOOKUP(Table2[[#This Row],[tee time2]],'Classic day 2 - groups'!$A$3:$F$20,5,FALSE),"")</f>
        <v/>
      </c>
      <c r="O179" s="69" t="str">
        <f>IFERROR((MAX(starting_interval,IF(Table2[[#This Row],[gap2]]="NA",Table2[[#This Row],[avg gap]],Table2[[#This Row],[gap2]]))-starting_interval)*Table2[[#This Row],[followers2]]/Table2[[#This Row],[group size2]],"")</f>
        <v/>
      </c>
      <c r="P179" s="32" t="str">
        <f>_xlfn.IFNA(VLOOKUP(Table2[[#This Row],[Name]],'Summer FD - players'!$A$2:$B$65,2,FALSE),"")</f>
        <v/>
      </c>
      <c r="Q179" s="59" t="str">
        <f>IF(Table2[[#This Row],[tee time3]]&lt;&gt;"",COUNTIF('Summer FD - players'!$B$2:$B$65,"="&amp;Table2[[#This Row],[tee time3]]),"")</f>
        <v/>
      </c>
      <c r="R179" s="59" t="str">
        <f>_xlfn.IFNA(VLOOKUP(Table2[[#This Row],[tee time3]],'Summer FD - groups'!$A$3:$F$20,6,FALSE),"")</f>
        <v/>
      </c>
      <c r="S179" s="4" t="str">
        <f>_xlfn.IFNA(VLOOKUP(Table2[[#This Row],[tee time3]],'Summer FD - groups'!$A$3:$F$20,4,FALSE),"")</f>
        <v/>
      </c>
      <c r="T179" s="13" t="str">
        <f>_xlfn.IFNA(VLOOKUP(Table2[[#This Row],[tee time3]],'Summer FD - groups'!$A$3:$F$20,5,FALSE),"")</f>
        <v/>
      </c>
      <c r="U179" s="69" t="str">
        <f>IF(Table2[[#This Row],[avg gap]]&lt;&gt;"",IFERROR((MAX(starting_interval,IF(Table2[[#This Row],[gap3]]="NA",Table2[[#This Row],[avg gap]],Table2[[#This Row],[gap3]]))-starting_interval)*Table2[[#This Row],[followers3]]/Table2[[#This Row],[group size3]],""),"")</f>
        <v/>
      </c>
      <c r="V179" s="32" t="str">
        <f>_xlfn.IFNA(VLOOKUP(Table2[[#This Row],[Name]],'6-6-6 - players'!$A$2:$B$69,2,FALSE),"")</f>
        <v/>
      </c>
      <c r="W179" s="59" t="str">
        <f>IF(Table2[[#This Row],[tee time4]]&lt;&gt;"",COUNTIF('6-6-6 - players'!$B$2:$B$69,"="&amp;Table2[[#This Row],[tee time4]]),"")</f>
        <v/>
      </c>
      <c r="X179" s="59" t="str">
        <f>_xlfn.IFNA(VLOOKUP(Table2[[#This Row],[tee time4]],'6-6-6 - groups'!$A$3:$F$20,6,FALSE),"")</f>
        <v/>
      </c>
      <c r="Y179" s="4" t="str">
        <f>_xlfn.IFNA(VLOOKUP(Table2[[#This Row],[tee time4]],'6-6-6 - groups'!$A$3:$F$20,4,FALSE),"")</f>
        <v/>
      </c>
      <c r="Z179" s="13" t="str">
        <f>_xlfn.IFNA(VLOOKUP(Table2[[#This Row],[tee time4]],'6-6-6 - groups'!$A$3:$F$20,5,FALSE),"")</f>
        <v/>
      </c>
      <c r="AA179" s="69" t="str">
        <f>IF(Table2[[#This Row],[avg gap]]&lt;&gt;"",IFERROR((MAX(starting_interval,IF(Table2[[#This Row],[gap4]]="NA",Table2[[#This Row],[avg gap]],Table2[[#This Row],[gap4]]))-starting_interval)*Table2[[#This Row],[followers4]]/Table2[[#This Row],[group size4]],""),"")</f>
        <v/>
      </c>
      <c r="AB179" s="32" t="str">
        <f>_xlfn.IFNA(VLOOKUP(Table2[[#This Row],[Name]],'Fall FD - players'!$A$2:$B$65,2,FALSE),"")</f>
        <v/>
      </c>
      <c r="AC179" s="59" t="str">
        <f>IF(Table2[[#This Row],[tee time5]]&lt;&gt;"",COUNTIF('Fall FD - players'!$B$2:$B$65,"="&amp;Table2[[#This Row],[tee time5]]),"")</f>
        <v/>
      </c>
      <c r="AD179" s="59" t="str">
        <f>_xlfn.IFNA(VLOOKUP(Table2[[#This Row],[tee time5]],'Fall FD - groups'!$A$3:$F$20,6,FALSE),"")</f>
        <v/>
      </c>
      <c r="AE179" s="4" t="str">
        <f>_xlfn.IFNA(VLOOKUP(Table2[[#This Row],[tee time5]],'Fall FD - groups'!$A$3:$F$20,4,FALSE),"")</f>
        <v/>
      </c>
      <c r="AF179" s="13" t="str">
        <f>IFERROR(MIN(_xlfn.IFNA(VLOOKUP(Table2[[#This Row],[tee time5]],'Fall FD - groups'!$A$3:$F$20,5,FALSE),""),starting_interval + Table2[[#This Row],[round5]] - standard_round_time),"")</f>
        <v/>
      </c>
      <c r="AG179" s="69" t="str">
        <f>IF(AND(Table2[[#This Row],[gap5]]="NA",Table2[[#This Row],[round5]]&lt;4/24),0,IFERROR((MAX(starting_interval,IF(Table2[[#This Row],[gap5]]="NA",Table2[[#This Row],[avg gap]],Table2[[#This Row],[gap5]]))-starting_interval)*Table2[[#This Row],[followers5]]/Table2[[#This Row],[group size5]],""))</f>
        <v/>
      </c>
      <c r="AH179" s="32" t="str">
        <f>_xlfn.IFNA(VLOOKUP(Table2[[#This Row],[Name]],'Stableford - players'!$A$2:$B$65,2,FALSE),"")</f>
        <v/>
      </c>
      <c r="AI179" s="59" t="str">
        <f>IF(Table2[[#This Row],[tee time6]]&lt;&gt;"",COUNTIF('Stableford - players'!$B$2:$B$65,"="&amp;Table2[[#This Row],[tee time6]]),"")</f>
        <v/>
      </c>
      <c r="AJ179" s="59" t="str">
        <f>_xlfn.IFNA(VLOOKUP(Table2[[#This Row],[tee time6]],'Stableford - groups'!$A$3:$F$20,6,FALSE),"")</f>
        <v/>
      </c>
      <c r="AK179" s="11" t="str">
        <f>_xlfn.IFNA(VLOOKUP(Table2[[#This Row],[tee time6]],'Stableford - groups'!$A$3:$F$20,4,FALSE),"")</f>
        <v/>
      </c>
      <c r="AL179" s="13" t="str">
        <f>_xlfn.IFNA(VLOOKUP(Table2[[#This Row],[tee time6]],'Stableford - groups'!$A$3:$F$20,5,FALSE),"")</f>
        <v/>
      </c>
      <c r="AM179" s="68" t="str">
        <f>IF(AND(Table2[[#This Row],[gap6]]="NA",Table2[[#This Row],[round6]]&lt;4/24),0,IFERROR((MAX(starting_interval,IF(Table2[[#This Row],[gap6]]="NA",Table2[[#This Row],[avg gap]],Table2[[#This Row],[gap6]]))-starting_interval)*Table2[[#This Row],[followers6]]/Table2[[#This Row],[group size6]],""))</f>
        <v/>
      </c>
      <c r="AN179" s="32" t="str">
        <f>_xlfn.IFNA(VLOOKUP(Table2[[#This Row],[Name]],'Turkey Shoot - players'!$A$2:$B$65,2,FALSE),"")</f>
        <v/>
      </c>
      <c r="AO179" s="59" t="str">
        <f>IF(Table2[[#This Row],[tee time7]]&lt;&gt;"",COUNTIF('Turkey Shoot - players'!$B$2:$B$65,"="&amp;Table2[[#This Row],[tee time7]]),"")</f>
        <v/>
      </c>
      <c r="AP179" s="59" t="str">
        <f>_xlfn.IFNA(VLOOKUP(Table2[[#This Row],[tee time7]],'Stableford - groups'!$A$3:$F$20,6,FALSE),"")</f>
        <v/>
      </c>
      <c r="AQ179" s="11" t="str">
        <f>_xlfn.IFNA(VLOOKUP(Table2[[#This Row],[tee time7]],'Turkey Shoot - groups'!$A$3:$F$20,4,FALSE),"")</f>
        <v/>
      </c>
      <c r="AR179" s="13" t="str">
        <f>_xlfn.IFNA(VLOOKUP(Table2[[#This Row],[tee time7]],'Turkey Shoot - groups'!$A$3:$F$20,5,FALSE),"")</f>
        <v/>
      </c>
      <c r="AS179" s="68" t="str">
        <f>IF(AND(Table2[[#This Row],[gap7]]="NA",Table2[[#This Row],[round7]]&lt;4/24),0,IFERROR((MAX(starting_interval,IF(Table2[[#This Row],[gap7]]="NA",Table2[[#This Row],[avg gap]],Table2[[#This Row],[gap7]]))-starting_interval)*Table2[[#This Row],[followers7]]/Table2[[#This Row],[group size7]],""))</f>
        <v/>
      </c>
      <c r="AT179" s="72">
        <f>COUNT(Table2[[#This Row],[Tee time1]],Table2[[#This Row],[tee time2]],Table2[[#This Row],[tee time3]],Table2[[#This Row],[tee time4]],Table2[[#This Row],[tee time5]],Table2[[#This Row],[tee time6]],Table2[[#This Row],[tee time7]])</f>
        <v>0</v>
      </c>
      <c r="AU179" s="4" t="str">
        <f>IFERROR(AVERAGE(Table2[[#This Row],[Tee time1]],Table2[[#This Row],[tee time2]],Table2[[#This Row],[tee time3]],Table2[[#This Row],[tee time4]],Table2[[#This Row],[tee time5]],Table2[[#This Row],[tee time6]],Table2[[#This Row],[tee time7]]),"")</f>
        <v/>
      </c>
      <c r="AV179" s="11" t="str">
        <f>IFERROR(MEDIAN(Table2[[#This Row],[round1]],Table2[[#This Row],[Round2]],Table2[[#This Row],[round3]],Table2[[#This Row],[round4]],Table2[[#This Row],[round5]],Table2[[#This Row],[round6]],Table2[[#This Row],[round7]]),"")</f>
        <v/>
      </c>
      <c r="AW179" s="11" t="str">
        <f>IFERROR(AVERAGE(Table2[[#This Row],[gap1]],Table2[[#This Row],[gap2]],Table2[[#This Row],[gap3]],Table2[[#This Row],[gap4]],Table2[[#This Row],[gap5]],Table2[[#This Row],[gap6]],Table2[[#This Row],[gap7]]),"")</f>
        <v/>
      </c>
      <c r="AX179" s="9" t="str">
        <f>IFERROR((Table2[[#This Row],[avg gap]]-starting_interval)*24*60*Table2[[#This Row],[Count]],"NA")</f>
        <v>NA</v>
      </c>
      <c r="AY179"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79" s="2"/>
    </row>
    <row r="180" spans="1:52" x14ac:dyDescent="0.3">
      <c r="A180" s="10" t="s">
        <v>85</v>
      </c>
      <c r="B180" s="1" t="s">
        <v>324</v>
      </c>
      <c r="C180" s="19">
        <v>13.5</v>
      </c>
      <c r="D180" s="32">
        <f>_xlfn.IFNA(VLOOKUP(Table2[[#This Row],[Name]],'Classic day 1 - players'!$A$2:$B$64,2,FALSE),"")</f>
        <v>0.40833333333333338</v>
      </c>
      <c r="E180" s="33">
        <f>IF(Table2[[#This Row],[Tee time1]]&lt;&gt;"",COUNTIF('Classic day 1 - players'!$B$2:$B$64,"="&amp;Table2[[#This Row],[Tee time1]]),"")</f>
        <v>3</v>
      </c>
      <c r="F180" s="33">
        <f>_xlfn.IFNA(VLOOKUP(Table2[[#This Row],[Tee time1]],'Classic day 1 - groups'!$A$3:$F$20,6,FALSE),"")</f>
        <v>20</v>
      </c>
      <c r="G180" s="11">
        <f>_xlfn.IFNA(VLOOKUP(Table2[[#This Row],[Tee time1]],'Classic day 1 - groups'!$A$3:$F$20,4,FALSE),"")</f>
        <v>0.2055555555555556</v>
      </c>
      <c r="H180" s="12">
        <f>_xlfn.IFNA(VLOOKUP(Table2[[#This Row],[Tee time1]],'Classic day 1 - groups'!$A$3:$F$20,5,FALSE),"")</f>
        <v>4.8611111111112049E-3</v>
      </c>
      <c r="I180" s="69">
        <f>IFERROR((MAX(starting_interval,IF(Table2[[#This Row],[gap1]]="NA",Table2[[#This Row],[avg gap]],Table2[[#This Row],[gap1]]))-starting_interval)*Table2[[#This Row],[followers1]]/Table2[[#This Row],[group size]],"")</f>
        <v>0</v>
      </c>
      <c r="J180" s="32">
        <f>_xlfn.IFNA(VLOOKUP(Table2[[#This Row],[Name]],'Classic day 2 - players'!$A$2:$B$64,2,FALSE),"")</f>
        <v>0.35833333333333334</v>
      </c>
      <c r="K180" s="33">
        <f>IF(Table2[[#This Row],[tee time2]]&lt;&gt;"",COUNTIF('Classic day 2 - players'!$B$2:$B$64,"="&amp;Table2[[#This Row],[tee time2]]),"")</f>
        <v>4</v>
      </c>
      <c r="L180" s="33">
        <f>_xlfn.IFNA(VLOOKUP(Table2[[#This Row],[tee time2]],'Classic day 2 - groups'!$A$3:$F$20,6,FALSE),"")</f>
        <v>36</v>
      </c>
      <c r="M180" s="4">
        <f>_xlfn.IFNA(VLOOKUP(Table2[[#This Row],[tee time2]],'Classic day 2 - groups'!$A$3:$F$20,4,FALSE),"")</f>
        <v>0.18541666666666667</v>
      </c>
      <c r="N180" s="65">
        <f>_xlfn.IFNA(VLOOKUP(Table2[[#This Row],[tee time2]],'Classic day 2 - groups'!$A$3:$F$20,5,FALSE),"")</f>
        <v>4.8611111111111112E-3</v>
      </c>
      <c r="O180" s="69">
        <f>IFERROR((MAX(starting_interval,IF(Table2[[#This Row],[gap2]]="NA",Table2[[#This Row],[avg gap]],Table2[[#This Row],[gap2]]))-starting_interval)*Table2[[#This Row],[followers2]]/Table2[[#This Row],[group size2]],"")</f>
        <v>0</v>
      </c>
      <c r="P180" s="32">
        <f>_xlfn.IFNA(VLOOKUP(Table2[[#This Row],[Name]],'Summer FD - players'!$A$2:$B$65,2,FALSE),"")</f>
        <v>0.39861111111111108</v>
      </c>
      <c r="Q180" s="59">
        <f>IF(Table2[[#This Row],[tee time3]]&lt;&gt;"",COUNTIF('Summer FD - players'!$B$2:$B$65,"="&amp;Table2[[#This Row],[tee time3]]),"")</f>
        <v>4</v>
      </c>
      <c r="R180" s="59">
        <f>_xlfn.IFNA(VLOOKUP(Table2[[#This Row],[tee time3]],'Summer FD - groups'!$A$3:$F$20,6,FALSE),"")</f>
        <v>24</v>
      </c>
      <c r="S180" s="4">
        <f>_xlfn.IFNA(VLOOKUP(Table2[[#This Row],[tee time3]],'Summer FD - groups'!$A$3:$F$20,4,FALSE),"")</f>
        <v>0.19722222222222224</v>
      </c>
      <c r="T180" s="13">
        <f>_xlfn.IFNA(VLOOKUP(Table2[[#This Row],[tee time3]],'Summer FD - groups'!$A$3:$F$20,5,FALSE),"")</f>
        <v>6.2499999999999778E-3</v>
      </c>
      <c r="U180" s="69">
        <f>IF(Table2[[#This Row],[avg gap]]&lt;&gt;"",IFERROR((MAX(starting_interval,IF(Table2[[#This Row],[gap3]]="NA",Table2[[#This Row],[avg gap]],Table2[[#This Row],[gap3]]))-starting_interval)*Table2[[#This Row],[followers3]]/Table2[[#This Row],[group size3]],""),"")</f>
        <v>0</v>
      </c>
      <c r="V180" s="32">
        <f>_xlfn.IFNA(VLOOKUP(Table2[[#This Row],[Name]],'6-6-6 - players'!$A$2:$B$69,2,FALSE),"")</f>
        <v>0.40277777777777773</v>
      </c>
      <c r="W180" s="59">
        <f>IF(Table2[[#This Row],[tee time4]]&lt;&gt;"",COUNTIF('6-6-6 - players'!$B$2:$B$69,"="&amp;Table2[[#This Row],[tee time4]]),"")</f>
        <v>4</v>
      </c>
      <c r="X180" s="59">
        <f>_xlfn.IFNA(VLOOKUP(Table2[[#This Row],[tee time4]],'6-6-6 - groups'!$A$3:$F$20,6,FALSE),"")</f>
        <v>28</v>
      </c>
      <c r="Y180" s="4">
        <f>_xlfn.IFNA(VLOOKUP(Table2[[#This Row],[tee time4]],'6-6-6 - groups'!$A$3:$F$20,4,FALSE),"")</f>
        <v>0.17083333333333345</v>
      </c>
      <c r="Z180" s="13">
        <f>_xlfn.IFNA(VLOOKUP(Table2[[#This Row],[tee time4]],'6-6-6 - groups'!$A$3:$F$20,5,FALSE),"")</f>
        <v>6.2500000000000888E-3</v>
      </c>
      <c r="AA180" s="69">
        <f>IF(Table2[[#This Row],[avg gap]]&lt;&gt;"",IFERROR((MAX(starting_interval,IF(Table2[[#This Row],[gap4]]="NA",Table2[[#This Row],[avg gap]],Table2[[#This Row],[gap4]]))-starting_interval)*Table2[[#This Row],[followers4]]/Table2[[#This Row],[group size4]],""),"")</f>
        <v>0</v>
      </c>
      <c r="AB180" s="32">
        <f>_xlfn.IFNA(VLOOKUP(Table2[[#This Row],[Name]],'Fall FD - players'!$A$2:$B$65,2,FALSE),"")</f>
        <v>0.39999999999999997</v>
      </c>
      <c r="AC180" s="59">
        <f>IF(Table2[[#This Row],[tee time5]]&lt;&gt;"",COUNTIF('Fall FD - players'!$B$2:$B$65,"="&amp;Table2[[#This Row],[tee time5]]),"")</f>
        <v>3</v>
      </c>
      <c r="AD180" s="59">
        <f>_xlfn.IFNA(VLOOKUP(Table2[[#This Row],[tee time5]],'Fall FD - groups'!$A$3:$F$20,6,FALSE),"")</f>
        <v>32</v>
      </c>
      <c r="AE180" s="4">
        <f>_xlfn.IFNA(VLOOKUP(Table2[[#This Row],[tee time5]],'Fall FD - groups'!$A$3:$F$20,4,FALSE),"")</f>
        <v>0.18125000000000002</v>
      </c>
      <c r="AF180" s="13">
        <f>IFERROR(MIN(_xlfn.IFNA(VLOOKUP(Table2[[#This Row],[tee time5]],'Fall FD - groups'!$A$3:$F$20,5,FALSE),""),starting_interval + Table2[[#This Row],[round5]] - standard_round_time),"")</f>
        <v>4.8611111111112049E-3</v>
      </c>
      <c r="AG180" s="69">
        <f>IF(AND(Table2[[#This Row],[gap5]]="NA",Table2[[#This Row],[round5]]&lt;4/24),0,IFERROR((MAX(starting_interval,IF(Table2[[#This Row],[gap5]]="NA",Table2[[#This Row],[avg gap]],Table2[[#This Row],[gap5]]))-starting_interval)*Table2[[#This Row],[followers5]]/Table2[[#This Row],[group size5]],""))</f>
        <v>0</v>
      </c>
      <c r="AH180" s="32">
        <f>_xlfn.IFNA(VLOOKUP(Table2[[#This Row],[Name]],'Stableford - players'!$A$2:$B$65,2,FALSE),"")</f>
        <v>0.43055555555555558</v>
      </c>
      <c r="AI180" s="59">
        <f>IF(Table2[[#This Row],[tee time6]]&lt;&gt;"",COUNTIF('Stableford - players'!$B$2:$B$65,"="&amp;Table2[[#This Row],[tee time6]]),"")</f>
        <v>4</v>
      </c>
      <c r="AJ180" s="59">
        <f>_xlfn.IFNA(VLOOKUP(Table2[[#This Row],[tee time6]],'Stableford - groups'!$A$3:$F$20,6,FALSE),"")</f>
        <v>4</v>
      </c>
      <c r="AK180" s="11">
        <f>_xlfn.IFNA(VLOOKUP(Table2[[#This Row],[tee time6]],'Stableford - groups'!$A$3:$F$20,4,FALSE),"")</f>
        <v>0.17083333333333328</v>
      </c>
      <c r="AL180" s="13">
        <f>_xlfn.IFNA(VLOOKUP(Table2[[#This Row],[tee time6]],'Stableford - groups'!$A$3:$F$20,5,FALSE),"")</f>
        <v>5.5555555555555358E-3</v>
      </c>
      <c r="AM180" s="68">
        <f>IF(AND(Table2[[#This Row],[gap6]]="NA",Table2[[#This Row],[round6]]&lt;4/24),0,IFERROR((MAX(starting_interval,IF(Table2[[#This Row],[gap6]]="NA",Table2[[#This Row],[avg gap]],Table2[[#This Row],[gap6]]))-starting_interval)*Table2[[#This Row],[followers6]]/Table2[[#This Row],[group size6]],""))</f>
        <v>0</v>
      </c>
      <c r="AN180" s="32">
        <f>_xlfn.IFNA(VLOOKUP(Table2[[#This Row],[Name]],'Turkey Shoot - players'!$A$2:$B$65,2,FALSE),"")</f>
        <v>0.4375</v>
      </c>
      <c r="AO180" s="59">
        <f>IF(Table2[[#This Row],[tee time7]]&lt;&gt;"",COUNTIF('Turkey Shoot - players'!$B$2:$B$65,"="&amp;Table2[[#This Row],[tee time7]]),"")</f>
        <v>4</v>
      </c>
      <c r="AP180" s="59">
        <f>_xlfn.IFNA(VLOOKUP(Table2[[#This Row],[tee time7]],'Stableford - groups'!$A$3:$F$20,6,FALSE),"")</f>
        <v>0</v>
      </c>
      <c r="AQ180" s="11">
        <f>_xlfn.IFNA(VLOOKUP(Table2[[#This Row],[tee time7]],'Turkey Shoot - groups'!$A$3:$F$20,4,FALSE),"")</f>
        <v>0.18263888888888891</v>
      </c>
      <c r="AR180" s="13">
        <f>_xlfn.IFNA(VLOOKUP(Table2[[#This Row],[tee time7]],'Turkey Shoot - groups'!$A$3:$F$20,5,FALSE),"")</f>
        <v>9.7222222222222224E-3</v>
      </c>
      <c r="AS180" s="68">
        <f>IF(AND(Table2[[#This Row],[gap7]]="NA",Table2[[#This Row],[round7]]&lt;4/24),0,IFERROR((MAX(starting_interval,IF(Table2[[#This Row],[gap7]]="NA",Table2[[#This Row],[avg gap]],Table2[[#This Row],[gap7]]))-starting_interval)*Table2[[#This Row],[followers7]]/Table2[[#This Row],[group size7]],""))</f>
        <v>0</v>
      </c>
      <c r="AT180" s="72">
        <f>COUNT(Table2[[#This Row],[Tee time1]],Table2[[#This Row],[tee time2]],Table2[[#This Row],[tee time3]],Table2[[#This Row],[tee time4]],Table2[[#This Row],[tee time5]],Table2[[#This Row],[tee time6]],Table2[[#This Row],[tee time7]])</f>
        <v>7</v>
      </c>
      <c r="AU180" s="4">
        <f>IFERROR(AVERAGE(Table2[[#This Row],[Tee time1]],Table2[[#This Row],[tee time2]],Table2[[#This Row],[tee time3]],Table2[[#This Row],[tee time4]],Table2[[#This Row],[tee time5]],Table2[[#This Row],[tee time6]],Table2[[#This Row],[tee time7]]),"")</f>
        <v>0.40515873015873016</v>
      </c>
      <c r="AV180" s="11">
        <f>IFERROR(MEDIAN(Table2[[#This Row],[round1]],Table2[[#This Row],[Round2]],Table2[[#This Row],[round3]],Table2[[#This Row],[round4]],Table2[[#This Row],[round5]],Table2[[#This Row],[round6]],Table2[[#This Row],[round7]]),"")</f>
        <v>0.18263888888888891</v>
      </c>
      <c r="AW180" s="11">
        <f>IFERROR(AVERAGE(Table2[[#This Row],[gap1]],Table2[[#This Row],[gap2]],Table2[[#This Row],[gap3]],Table2[[#This Row],[gap4]],Table2[[#This Row],[gap5]],Table2[[#This Row],[gap6]],Table2[[#This Row],[gap7]]),"")</f>
        <v>6.0515873015873347E-3</v>
      </c>
      <c r="AX180" s="9">
        <f>IFERROR((Table2[[#This Row],[avg gap]]-starting_interval)*24*60*Table2[[#This Row],[Count]],"NA")</f>
        <v>-8.9999999999996625</v>
      </c>
      <c r="AY180"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80" s="2"/>
    </row>
    <row r="181" spans="1:52" hidden="1" x14ac:dyDescent="0.3">
      <c r="A181" s="10" t="s">
        <v>108</v>
      </c>
      <c r="B181" s="1" t="s">
        <v>348</v>
      </c>
      <c r="C181" s="19">
        <v>8.6</v>
      </c>
      <c r="D181" s="32" t="str">
        <f>_xlfn.IFNA(VLOOKUP(Table2[[#This Row],[Name]],'Classic day 1 - players'!$A$2:$B$64,2,FALSE),"")</f>
        <v/>
      </c>
      <c r="E181" s="33" t="str">
        <f>IF(Table2[[#This Row],[Tee time1]]&lt;&gt;"",COUNTIF('Classic day 1 - players'!$B$2:$B$64,"="&amp;Table2[[#This Row],[Tee time1]]),"")</f>
        <v/>
      </c>
      <c r="F181" s="4" t="str">
        <f>_xlfn.IFNA(VLOOKUP(Table2[[#This Row],[Tee time1]],'Classic day 1 - groups'!$A$3:$F$20,6,FALSE),"")</f>
        <v/>
      </c>
      <c r="G181" s="11" t="str">
        <f>_xlfn.IFNA(VLOOKUP(Table2[[#This Row],[Tee time1]],'Classic day 1 - groups'!$A$3:$F$20,4,FALSE),"")</f>
        <v/>
      </c>
      <c r="H181" s="12" t="str">
        <f>_xlfn.IFNA(VLOOKUP(Table2[[#This Row],[Tee time1]],'Classic day 1 - groups'!$A$3:$F$20,5,FALSE),"")</f>
        <v/>
      </c>
      <c r="I181" s="69" t="str">
        <f>IFERROR((MAX(starting_interval,IF(Table2[[#This Row],[gap1]]="NA",Table2[[#This Row],[avg gap]],Table2[[#This Row],[gap1]]))-starting_interval)*Table2[[#This Row],[followers1]]/Table2[[#This Row],[group size]],"")</f>
        <v/>
      </c>
      <c r="J181" s="32" t="str">
        <f>_xlfn.IFNA(VLOOKUP(Table2[[#This Row],[Name]],'Classic day 2 - players'!$A$2:$B$64,2,FALSE),"")</f>
        <v/>
      </c>
      <c r="K181" s="4" t="str">
        <f>IF(Table2[[#This Row],[tee time2]]&lt;&gt;"",COUNTIF('Classic day 2 - players'!$B$2:$B$64,"="&amp;Table2[[#This Row],[tee time2]]),"")</f>
        <v/>
      </c>
      <c r="L181" s="4" t="str">
        <f>_xlfn.IFNA(VLOOKUP(Table2[[#This Row],[tee time2]],'Classic day 2 - groups'!$A$3:$F$20,6,FALSE),"")</f>
        <v/>
      </c>
      <c r="M181" s="4" t="str">
        <f>_xlfn.IFNA(VLOOKUP(Table2[[#This Row],[tee time2]],'Classic day 2 - groups'!$A$3:$F$20,4,FALSE),"")</f>
        <v/>
      </c>
      <c r="N181" s="65" t="str">
        <f>_xlfn.IFNA(VLOOKUP(Table2[[#This Row],[tee time2]],'Classic day 2 - groups'!$A$3:$F$20,5,FALSE),"")</f>
        <v/>
      </c>
      <c r="O181" s="69" t="str">
        <f>IFERROR((MAX(starting_interval,IF(Table2[[#This Row],[gap2]]="NA",Table2[[#This Row],[avg gap]],Table2[[#This Row],[gap2]]))-starting_interval)*Table2[[#This Row],[followers2]]/Table2[[#This Row],[group size2]],"")</f>
        <v/>
      </c>
      <c r="P181" s="32" t="str">
        <f>_xlfn.IFNA(VLOOKUP(Table2[[#This Row],[Name]],'Summer FD - players'!$A$2:$B$65,2,FALSE),"")</f>
        <v/>
      </c>
      <c r="Q181" s="59" t="str">
        <f>IF(Table2[[#This Row],[tee time3]]&lt;&gt;"",COUNTIF('Summer FD - players'!$B$2:$B$65,"="&amp;Table2[[#This Row],[tee time3]]),"")</f>
        <v/>
      </c>
      <c r="R181" s="59" t="str">
        <f>_xlfn.IFNA(VLOOKUP(Table2[[#This Row],[tee time3]],'Summer FD - groups'!$A$3:$F$20,6,FALSE),"")</f>
        <v/>
      </c>
      <c r="S181" s="4" t="str">
        <f>_xlfn.IFNA(VLOOKUP(Table2[[#This Row],[tee time3]],'Summer FD - groups'!$A$3:$F$20,4,FALSE),"")</f>
        <v/>
      </c>
      <c r="T181" s="13" t="str">
        <f>_xlfn.IFNA(VLOOKUP(Table2[[#This Row],[tee time3]],'Summer FD - groups'!$A$3:$F$20,5,FALSE),"")</f>
        <v/>
      </c>
      <c r="U181" s="69" t="str">
        <f>IF(Table2[[#This Row],[avg gap]]&lt;&gt;"",IFERROR((MAX(starting_interval,IF(Table2[[#This Row],[gap3]]="NA",Table2[[#This Row],[avg gap]],Table2[[#This Row],[gap3]]))-starting_interval)*Table2[[#This Row],[followers3]]/Table2[[#This Row],[group size3]],""),"")</f>
        <v/>
      </c>
      <c r="V181" s="32" t="str">
        <f>_xlfn.IFNA(VLOOKUP(Table2[[#This Row],[Name]],'6-6-6 - players'!$A$2:$B$69,2,FALSE),"")</f>
        <v/>
      </c>
      <c r="W181" s="59" t="str">
        <f>IF(Table2[[#This Row],[tee time4]]&lt;&gt;"",COUNTIF('6-6-6 - players'!$B$2:$B$69,"="&amp;Table2[[#This Row],[tee time4]]),"")</f>
        <v/>
      </c>
      <c r="X181" s="59" t="str">
        <f>_xlfn.IFNA(VLOOKUP(Table2[[#This Row],[tee time4]],'6-6-6 - groups'!$A$3:$F$20,6,FALSE),"")</f>
        <v/>
      </c>
      <c r="Y181" s="4" t="str">
        <f>_xlfn.IFNA(VLOOKUP(Table2[[#This Row],[tee time4]],'6-6-6 - groups'!$A$3:$F$20,4,FALSE),"")</f>
        <v/>
      </c>
      <c r="Z181" s="13" t="str">
        <f>_xlfn.IFNA(VLOOKUP(Table2[[#This Row],[tee time4]],'6-6-6 - groups'!$A$3:$F$20,5,FALSE),"")</f>
        <v/>
      </c>
      <c r="AA181" s="69" t="str">
        <f>IF(Table2[[#This Row],[avg gap]]&lt;&gt;"",IFERROR((MAX(starting_interval,IF(Table2[[#This Row],[gap4]]="NA",Table2[[#This Row],[avg gap]],Table2[[#This Row],[gap4]]))-starting_interval)*Table2[[#This Row],[followers4]]/Table2[[#This Row],[group size4]],""),"")</f>
        <v/>
      </c>
      <c r="AB181" s="32" t="str">
        <f>_xlfn.IFNA(VLOOKUP(Table2[[#This Row],[Name]],'Fall FD - players'!$A$2:$B$65,2,FALSE),"")</f>
        <v/>
      </c>
      <c r="AC181" s="59" t="str">
        <f>IF(Table2[[#This Row],[tee time5]]&lt;&gt;"",COUNTIF('Fall FD - players'!$B$2:$B$65,"="&amp;Table2[[#This Row],[tee time5]]),"")</f>
        <v/>
      </c>
      <c r="AD181" s="59" t="str">
        <f>_xlfn.IFNA(VLOOKUP(Table2[[#This Row],[tee time5]],'Fall FD - groups'!$A$3:$F$20,6,FALSE),"")</f>
        <v/>
      </c>
      <c r="AE181" s="4" t="str">
        <f>_xlfn.IFNA(VLOOKUP(Table2[[#This Row],[tee time5]],'Fall FD - groups'!$A$3:$F$20,4,FALSE),"")</f>
        <v/>
      </c>
      <c r="AF181" s="13" t="str">
        <f>IFERROR(MIN(_xlfn.IFNA(VLOOKUP(Table2[[#This Row],[tee time5]],'Fall FD - groups'!$A$3:$F$20,5,FALSE),""),starting_interval + Table2[[#This Row],[round5]] - standard_round_time),"")</f>
        <v/>
      </c>
      <c r="AG181" s="69" t="str">
        <f>IF(AND(Table2[[#This Row],[gap5]]="NA",Table2[[#This Row],[round5]]&lt;4/24),0,IFERROR((MAX(starting_interval,IF(Table2[[#This Row],[gap5]]="NA",Table2[[#This Row],[avg gap]],Table2[[#This Row],[gap5]]))-starting_interval)*Table2[[#This Row],[followers5]]/Table2[[#This Row],[group size5]],""))</f>
        <v/>
      </c>
      <c r="AH181" s="32" t="str">
        <f>_xlfn.IFNA(VLOOKUP(Table2[[#This Row],[Name]],'Stableford - players'!$A$2:$B$65,2,FALSE),"")</f>
        <v/>
      </c>
      <c r="AI181" s="59" t="str">
        <f>IF(Table2[[#This Row],[tee time6]]&lt;&gt;"",COUNTIF('Stableford - players'!$B$2:$B$65,"="&amp;Table2[[#This Row],[tee time6]]),"")</f>
        <v/>
      </c>
      <c r="AJ181" s="59" t="str">
        <f>_xlfn.IFNA(VLOOKUP(Table2[[#This Row],[tee time6]],'Stableford - groups'!$A$3:$F$20,6,FALSE),"")</f>
        <v/>
      </c>
      <c r="AK181" s="11" t="str">
        <f>_xlfn.IFNA(VLOOKUP(Table2[[#This Row],[tee time6]],'Stableford - groups'!$A$3:$F$20,4,FALSE),"")</f>
        <v/>
      </c>
      <c r="AL181" s="13" t="str">
        <f>_xlfn.IFNA(VLOOKUP(Table2[[#This Row],[tee time6]],'Stableford - groups'!$A$3:$F$20,5,FALSE),"")</f>
        <v/>
      </c>
      <c r="AM181" s="68" t="str">
        <f>IF(AND(Table2[[#This Row],[gap6]]="NA",Table2[[#This Row],[round6]]&lt;4/24),0,IFERROR((MAX(starting_interval,IF(Table2[[#This Row],[gap6]]="NA",Table2[[#This Row],[avg gap]],Table2[[#This Row],[gap6]]))-starting_interval)*Table2[[#This Row],[followers6]]/Table2[[#This Row],[group size6]],""))</f>
        <v/>
      </c>
      <c r="AN181" s="32" t="str">
        <f>_xlfn.IFNA(VLOOKUP(Table2[[#This Row],[Name]],'Turkey Shoot - players'!$A$2:$B$65,2,FALSE),"")</f>
        <v/>
      </c>
      <c r="AO181" s="59" t="str">
        <f>IF(Table2[[#This Row],[tee time7]]&lt;&gt;"",COUNTIF('Turkey Shoot - players'!$B$2:$B$65,"="&amp;Table2[[#This Row],[tee time7]]),"")</f>
        <v/>
      </c>
      <c r="AP181" s="59" t="str">
        <f>_xlfn.IFNA(VLOOKUP(Table2[[#This Row],[tee time7]],'Stableford - groups'!$A$3:$F$20,6,FALSE),"")</f>
        <v/>
      </c>
      <c r="AQ181" s="11" t="str">
        <f>_xlfn.IFNA(VLOOKUP(Table2[[#This Row],[tee time7]],'Turkey Shoot - groups'!$A$3:$F$20,4,FALSE),"")</f>
        <v/>
      </c>
      <c r="AR181" s="13" t="str">
        <f>_xlfn.IFNA(VLOOKUP(Table2[[#This Row],[tee time7]],'Turkey Shoot - groups'!$A$3:$F$20,5,FALSE),"")</f>
        <v/>
      </c>
      <c r="AS181" s="68" t="str">
        <f>IF(AND(Table2[[#This Row],[gap7]]="NA",Table2[[#This Row],[round7]]&lt;4/24),0,IFERROR((MAX(starting_interval,IF(Table2[[#This Row],[gap7]]="NA",Table2[[#This Row],[avg gap]],Table2[[#This Row],[gap7]]))-starting_interval)*Table2[[#This Row],[followers7]]/Table2[[#This Row],[group size7]],""))</f>
        <v/>
      </c>
      <c r="AT181" s="72">
        <f>COUNT(Table2[[#This Row],[Tee time1]],Table2[[#This Row],[tee time2]],Table2[[#This Row],[tee time3]],Table2[[#This Row],[tee time4]],Table2[[#This Row],[tee time5]],Table2[[#This Row],[tee time6]],Table2[[#This Row],[tee time7]])</f>
        <v>0</v>
      </c>
      <c r="AU181" s="4" t="str">
        <f>IFERROR(AVERAGE(Table2[[#This Row],[Tee time1]],Table2[[#This Row],[tee time2]],Table2[[#This Row],[tee time3]],Table2[[#This Row],[tee time4]],Table2[[#This Row],[tee time5]],Table2[[#This Row],[tee time6]],Table2[[#This Row],[tee time7]]),"")</f>
        <v/>
      </c>
      <c r="AV181" s="11" t="str">
        <f>IFERROR(MEDIAN(Table2[[#This Row],[round1]],Table2[[#This Row],[Round2]],Table2[[#This Row],[round3]],Table2[[#This Row],[round4]],Table2[[#This Row],[round5]],Table2[[#This Row],[round6]],Table2[[#This Row],[round7]]),"")</f>
        <v/>
      </c>
      <c r="AW181" s="11" t="str">
        <f>IFERROR(AVERAGE(Table2[[#This Row],[gap1]],Table2[[#This Row],[gap2]],Table2[[#This Row],[gap3]],Table2[[#This Row],[gap4]],Table2[[#This Row],[gap5]],Table2[[#This Row],[gap6]],Table2[[#This Row],[gap7]]),"")</f>
        <v/>
      </c>
      <c r="AX181" s="9" t="str">
        <f>IFERROR((Table2[[#This Row],[avg gap]]-starting_interval)*24*60*Table2[[#This Row],[Count]],"NA")</f>
        <v>NA</v>
      </c>
      <c r="AY181"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81" s="2"/>
    </row>
    <row r="182" spans="1:52" x14ac:dyDescent="0.3">
      <c r="A182" s="10" t="s">
        <v>165</v>
      </c>
      <c r="B182" s="1" t="s">
        <v>406</v>
      </c>
      <c r="C182" s="19">
        <v>11.1</v>
      </c>
      <c r="D182" s="32">
        <f>_xlfn.IFNA(VLOOKUP(Table2[[#This Row],[Name]],'Classic day 1 - players'!$A$2:$B$64,2,FALSE),"")</f>
        <v>0.4145833333333333</v>
      </c>
      <c r="E182" s="33">
        <f>IF(Table2[[#This Row],[Tee time1]]&lt;&gt;"",COUNTIF('Classic day 1 - players'!$B$2:$B$64,"="&amp;Table2[[#This Row],[Tee time1]]),"")</f>
        <v>3</v>
      </c>
      <c r="F182" s="33">
        <f>_xlfn.IFNA(VLOOKUP(Table2[[#This Row],[Tee time1]],'Classic day 1 - groups'!$A$3:$F$20,6,FALSE),"")</f>
        <v>16</v>
      </c>
      <c r="G182" s="11">
        <f>_xlfn.IFNA(VLOOKUP(Table2[[#This Row],[Tee time1]],'Classic day 1 - groups'!$A$3:$F$20,4,FALSE),"")</f>
        <v>0.19861111111111113</v>
      </c>
      <c r="H182" s="12">
        <f>_xlfn.IFNA(VLOOKUP(Table2[[#This Row],[Tee time1]],'Classic day 1 - groups'!$A$3:$F$20,5,FALSE),"")</f>
        <v>3.4722222222222099E-3</v>
      </c>
      <c r="I182" s="69">
        <f>IFERROR((MAX(starting_interval,IF(Table2[[#This Row],[gap1]]="NA",Table2[[#This Row],[avg gap]],Table2[[#This Row],[gap1]]))-starting_interval)*Table2[[#This Row],[followers1]]/Table2[[#This Row],[group size]],"")</f>
        <v>0</v>
      </c>
      <c r="J182" s="32">
        <f>_xlfn.IFNA(VLOOKUP(Table2[[#This Row],[Name]],'Classic day 2 - players'!$A$2:$B$64,2,FALSE),"")</f>
        <v>0.33333333333333331</v>
      </c>
      <c r="K182" s="33">
        <f>IF(Table2[[#This Row],[tee time2]]&lt;&gt;"",COUNTIF('Classic day 2 - players'!$B$2:$B$64,"="&amp;Table2[[#This Row],[tee time2]]),"")</f>
        <v>4</v>
      </c>
      <c r="L182" s="33">
        <f>_xlfn.IFNA(VLOOKUP(Table2[[#This Row],[tee time2]],'Classic day 2 - groups'!$A$3:$F$20,6,FALSE),"")</f>
        <v>52</v>
      </c>
      <c r="M182" s="4">
        <f>_xlfn.IFNA(VLOOKUP(Table2[[#This Row],[tee time2]],'Classic day 2 - groups'!$A$3:$F$20,4,FALSE),"")</f>
        <v>0.16805555555555554</v>
      </c>
      <c r="N182" s="65" t="str">
        <f>_xlfn.IFNA(VLOOKUP(Table2[[#This Row],[tee time2]],'Classic day 2 - groups'!$A$3:$F$20,5,FALSE),"")</f>
        <v>NA</v>
      </c>
      <c r="O182" s="69">
        <f>IFERROR((MAX(starting_interval,IF(Table2[[#This Row],[gap2]]="NA",Table2[[#This Row],[avg gap]],Table2[[#This Row],[gap2]]))-starting_interval)*Table2[[#This Row],[followers2]]/Table2[[#This Row],[group size2]],"")</f>
        <v>0</v>
      </c>
      <c r="P182" s="32" t="str">
        <f>_xlfn.IFNA(VLOOKUP(Table2[[#This Row],[Name]],'Summer FD - players'!$A$2:$B$65,2,FALSE),"")</f>
        <v/>
      </c>
      <c r="Q182" s="59" t="str">
        <f>IF(Table2[[#This Row],[tee time3]]&lt;&gt;"",COUNTIF('Summer FD - players'!$B$2:$B$65,"="&amp;Table2[[#This Row],[tee time3]]),"")</f>
        <v/>
      </c>
      <c r="R182" s="59" t="str">
        <f>_xlfn.IFNA(VLOOKUP(Table2[[#This Row],[tee time3]],'Summer FD - groups'!$A$3:$F$20,6,FALSE),"")</f>
        <v/>
      </c>
      <c r="S182" s="4" t="str">
        <f>_xlfn.IFNA(VLOOKUP(Table2[[#This Row],[tee time3]],'Summer FD - groups'!$A$3:$F$20,4,FALSE),"")</f>
        <v/>
      </c>
      <c r="T182" s="13" t="str">
        <f>_xlfn.IFNA(VLOOKUP(Table2[[#This Row],[tee time3]],'Summer FD - groups'!$A$3:$F$20,5,FALSE),"")</f>
        <v/>
      </c>
      <c r="U182" s="69" t="str">
        <f>IF(Table2[[#This Row],[avg gap]]&lt;&gt;"",IFERROR((MAX(starting_interval,IF(Table2[[#This Row],[gap3]]="NA",Table2[[#This Row],[avg gap]],Table2[[#This Row],[gap3]]))-starting_interval)*Table2[[#This Row],[followers3]]/Table2[[#This Row],[group size3]],""),"")</f>
        <v/>
      </c>
      <c r="V182" s="32" t="str">
        <f>_xlfn.IFNA(VLOOKUP(Table2[[#This Row],[Name]],'6-6-6 - players'!$A$2:$B$69,2,FALSE),"")</f>
        <v/>
      </c>
      <c r="W182" s="59" t="str">
        <f>IF(Table2[[#This Row],[tee time4]]&lt;&gt;"",COUNTIF('6-6-6 - players'!$B$2:$B$69,"="&amp;Table2[[#This Row],[tee time4]]),"")</f>
        <v/>
      </c>
      <c r="X182" s="59" t="str">
        <f>_xlfn.IFNA(VLOOKUP(Table2[[#This Row],[tee time4]],'6-6-6 - groups'!$A$3:$F$20,6,FALSE),"")</f>
        <v/>
      </c>
      <c r="Y182" s="4" t="str">
        <f>_xlfn.IFNA(VLOOKUP(Table2[[#This Row],[tee time4]],'6-6-6 - groups'!$A$3:$F$20,4,FALSE),"")</f>
        <v/>
      </c>
      <c r="Z182" s="13" t="str">
        <f>_xlfn.IFNA(VLOOKUP(Table2[[#This Row],[tee time4]],'6-6-6 - groups'!$A$3:$F$20,5,FALSE),"")</f>
        <v/>
      </c>
      <c r="AA182" s="69" t="str">
        <f>IF(Table2[[#This Row],[avg gap]]&lt;&gt;"",IFERROR((MAX(starting_interval,IF(Table2[[#This Row],[gap4]]="NA",Table2[[#This Row],[avg gap]],Table2[[#This Row],[gap4]]))-starting_interval)*Table2[[#This Row],[followers4]]/Table2[[#This Row],[group size4]],""),"")</f>
        <v/>
      </c>
      <c r="AB182" s="32" t="str">
        <f>_xlfn.IFNA(VLOOKUP(Table2[[#This Row],[Name]],'Fall FD - players'!$A$2:$B$65,2,FALSE),"")</f>
        <v/>
      </c>
      <c r="AC182" s="59" t="str">
        <f>IF(Table2[[#This Row],[tee time5]]&lt;&gt;"",COUNTIF('Fall FD - players'!$B$2:$B$65,"="&amp;Table2[[#This Row],[tee time5]]),"")</f>
        <v/>
      </c>
      <c r="AD182" s="59" t="str">
        <f>_xlfn.IFNA(VLOOKUP(Table2[[#This Row],[tee time5]],'Fall FD - groups'!$A$3:$F$20,6,FALSE),"")</f>
        <v/>
      </c>
      <c r="AE182" s="4" t="str">
        <f>_xlfn.IFNA(VLOOKUP(Table2[[#This Row],[tee time5]],'Fall FD - groups'!$A$3:$F$20,4,FALSE),"")</f>
        <v/>
      </c>
      <c r="AF182" s="13" t="str">
        <f>IFERROR(MIN(_xlfn.IFNA(VLOOKUP(Table2[[#This Row],[tee time5]],'Fall FD - groups'!$A$3:$F$20,5,FALSE),""),starting_interval + Table2[[#This Row],[round5]] - standard_round_time),"")</f>
        <v/>
      </c>
      <c r="AG182" s="69" t="str">
        <f>IF(AND(Table2[[#This Row],[gap5]]="NA",Table2[[#This Row],[round5]]&lt;4/24),0,IFERROR((MAX(starting_interval,IF(Table2[[#This Row],[gap5]]="NA",Table2[[#This Row],[avg gap]],Table2[[#This Row],[gap5]]))-starting_interval)*Table2[[#This Row],[followers5]]/Table2[[#This Row],[group size5]],""))</f>
        <v/>
      </c>
      <c r="AH182" s="32">
        <f>_xlfn.IFNA(VLOOKUP(Table2[[#This Row],[Name]],'Stableford - players'!$A$2:$B$65,2,FALSE),"")</f>
        <v>0.39583333333333331</v>
      </c>
      <c r="AI182" s="59">
        <f>IF(Table2[[#This Row],[tee time6]]&lt;&gt;"",COUNTIF('Stableford - players'!$B$2:$B$65,"="&amp;Table2[[#This Row],[tee time6]]),"")</f>
        <v>3</v>
      </c>
      <c r="AJ182" s="59">
        <f>_xlfn.IFNA(VLOOKUP(Table2[[#This Row],[tee time6]],'Stableford - groups'!$A$3:$F$20,6,FALSE),"")</f>
        <v>24</v>
      </c>
      <c r="AK182" s="11">
        <f>_xlfn.IFNA(VLOOKUP(Table2[[#This Row],[tee time6]],'Stableford - groups'!$A$3:$F$20,4,FALSE),"")</f>
        <v>0.17152777777777772</v>
      </c>
      <c r="AL182" s="13">
        <f>_xlfn.IFNA(VLOOKUP(Table2[[#This Row],[tee time6]],'Stableford - groups'!$A$3:$F$20,5,FALSE),"")</f>
        <v>6.2499999999999778E-3</v>
      </c>
      <c r="AM182" s="68">
        <f>IF(AND(Table2[[#This Row],[gap6]]="NA",Table2[[#This Row],[round6]]&lt;4/24),0,IFERROR((MAX(starting_interval,IF(Table2[[#This Row],[gap6]]="NA",Table2[[#This Row],[avg gap]],Table2[[#This Row],[gap6]]))-starting_interval)*Table2[[#This Row],[followers6]]/Table2[[#This Row],[group size6]],""))</f>
        <v>0</v>
      </c>
      <c r="AN182" s="32" t="str">
        <f>_xlfn.IFNA(VLOOKUP(Table2[[#This Row],[Name]],'Turkey Shoot - players'!$A$2:$B$65,2,FALSE),"")</f>
        <v/>
      </c>
      <c r="AO182" s="59" t="str">
        <f>IF(Table2[[#This Row],[tee time7]]&lt;&gt;"",COUNTIF('Turkey Shoot - players'!$B$2:$B$65,"="&amp;Table2[[#This Row],[tee time7]]),"")</f>
        <v/>
      </c>
      <c r="AP182" s="59" t="str">
        <f>_xlfn.IFNA(VLOOKUP(Table2[[#This Row],[tee time7]],'Stableford - groups'!$A$3:$F$20,6,FALSE),"")</f>
        <v/>
      </c>
      <c r="AQ182" s="11" t="str">
        <f>_xlfn.IFNA(VLOOKUP(Table2[[#This Row],[tee time7]],'Turkey Shoot - groups'!$A$3:$F$20,4,FALSE),"")</f>
        <v/>
      </c>
      <c r="AR182" s="13" t="str">
        <f>_xlfn.IFNA(VLOOKUP(Table2[[#This Row],[tee time7]],'Turkey Shoot - groups'!$A$3:$F$20,5,FALSE),"")</f>
        <v/>
      </c>
      <c r="AS182" s="68" t="str">
        <f>IF(AND(Table2[[#This Row],[gap7]]="NA",Table2[[#This Row],[round7]]&lt;4/24),0,IFERROR((MAX(starting_interval,IF(Table2[[#This Row],[gap7]]="NA",Table2[[#This Row],[avg gap]],Table2[[#This Row],[gap7]]))-starting_interval)*Table2[[#This Row],[followers7]]/Table2[[#This Row],[group size7]],""))</f>
        <v/>
      </c>
      <c r="AT182" s="72">
        <f>COUNT(Table2[[#This Row],[Tee time1]],Table2[[#This Row],[tee time2]],Table2[[#This Row],[tee time3]],Table2[[#This Row],[tee time4]],Table2[[#This Row],[tee time5]],Table2[[#This Row],[tee time6]],Table2[[#This Row],[tee time7]])</f>
        <v>3</v>
      </c>
      <c r="AU182" s="4">
        <f>IFERROR(AVERAGE(Table2[[#This Row],[Tee time1]],Table2[[#This Row],[tee time2]],Table2[[#This Row],[tee time3]],Table2[[#This Row],[tee time4]],Table2[[#This Row],[tee time5]],Table2[[#This Row],[tee time6]],Table2[[#This Row],[tee time7]]),"")</f>
        <v>0.38124999999999992</v>
      </c>
      <c r="AV182" s="11">
        <f>IFERROR(MEDIAN(Table2[[#This Row],[round1]],Table2[[#This Row],[Round2]],Table2[[#This Row],[round3]],Table2[[#This Row],[round4]],Table2[[#This Row],[round5]],Table2[[#This Row],[round6]],Table2[[#This Row],[round7]]),"")</f>
        <v>0.17152777777777772</v>
      </c>
      <c r="AW182" s="11">
        <f>IFERROR(AVERAGE(Table2[[#This Row],[gap1]],Table2[[#This Row],[gap2]],Table2[[#This Row],[gap3]],Table2[[#This Row],[gap4]],Table2[[#This Row],[gap5]],Table2[[#This Row],[gap6]],Table2[[#This Row],[gap7]]),"")</f>
        <v>4.8611111111110938E-3</v>
      </c>
      <c r="AX182" s="9">
        <f>IFERROR((Table2[[#This Row],[avg gap]]-starting_interval)*24*60*Table2[[#This Row],[Count]],"NA")</f>
        <v>-9.0000000000000728</v>
      </c>
      <c r="AY18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82" s="2"/>
    </row>
    <row r="183" spans="1:52" hidden="1" x14ac:dyDescent="0.3">
      <c r="A183" s="10" t="s">
        <v>111</v>
      </c>
      <c r="B183" s="1" t="s">
        <v>351</v>
      </c>
      <c r="C183" s="19">
        <v>16.7</v>
      </c>
      <c r="D183" s="32" t="str">
        <f>_xlfn.IFNA(VLOOKUP(Table2[[#This Row],[Name]],'Classic day 1 - players'!$A$2:$B$64,2,FALSE),"")</f>
        <v/>
      </c>
      <c r="E183" s="33" t="str">
        <f>IF(Table2[[#This Row],[Tee time1]]&lt;&gt;"",COUNTIF('Classic day 1 - players'!$B$2:$B$64,"="&amp;Table2[[#This Row],[Tee time1]]),"")</f>
        <v/>
      </c>
      <c r="F183" s="4" t="str">
        <f>_xlfn.IFNA(VLOOKUP(Table2[[#This Row],[Tee time1]],'Classic day 1 - groups'!$A$3:$F$20,6,FALSE),"")</f>
        <v/>
      </c>
      <c r="G183" s="11" t="str">
        <f>_xlfn.IFNA(VLOOKUP(Table2[[#This Row],[Tee time1]],'Classic day 1 - groups'!$A$3:$F$20,4,FALSE),"")</f>
        <v/>
      </c>
      <c r="H183" s="12" t="str">
        <f>_xlfn.IFNA(VLOOKUP(Table2[[#This Row],[Tee time1]],'Classic day 1 - groups'!$A$3:$F$20,5,FALSE),"")</f>
        <v/>
      </c>
      <c r="I183" s="69" t="str">
        <f>IFERROR((MAX(starting_interval,IF(Table2[[#This Row],[gap1]]="NA",Table2[[#This Row],[avg gap]],Table2[[#This Row],[gap1]]))-starting_interval)*Table2[[#This Row],[followers1]]/Table2[[#This Row],[group size]],"")</f>
        <v/>
      </c>
      <c r="J183" s="32" t="str">
        <f>_xlfn.IFNA(VLOOKUP(Table2[[#This Row],[Name]],'Classic day 2 - players'!$A$2:$B$64,2,FALSE),"")</f>
        <v/>
      </c>
      <c r="K183" s="4" t="str">
        <f>IF(Table2[[#This Row],[tee time2]]&lt;&gt;"",COUNTIF('Classic day 2 - players'!$B$2:$B$64,"="&amp;Table2[[#This Row],[tee time2]]),"")</f>
        <v/>
      </c>
      <c r="L183" s="4" t="str">
        <f>_xlfn.IFNA(VLOOKUP(Table2[[#This Row],[tee time2]],'Classic day 2 - groups'!$A$3:$F$20,6,FALSE),"")</f>
        <v/>
      </c>
      <c r="M183" s="4" t="str">
        <f>_xlfn.IFNA(VLOOKUP(Table2[[#This Row],[tee time2]],'Classic day 2 - groups'!$A$3:$F$20,4,FALSE),"")</f>
        <v/>
      </c>
      <c r="N183" s="65" t="str">
        <f>_xlfn.IFNA(VLOOKUP(Table2[[#This Row],[tee time2]],'Classic day 2 - groups'!$A$3:$F$20,5,FALSE),"")</f>
        <v/>
      </c>
      <c r="O183" s="69" t="str">
        <f>IFERROR((MAX(starting_interval,IF(Table2[[#This Row],[gap2]]="NA",Table2[[#This Row],[avg gap]],Table2[[#This Row],[gap2]]))-starting_interval)*Table2[[#This Row],[followers2]]/Table2[[#This Row],[group size2]],"")</f>
        <v/>
      </c>
      <c r="P183" s="32" t="str">
        <f>_xlfn.IFNA(VLOOKUP(Table2[[#This Row],[Name]],'Summer FD - players'!$A$2:$B$65,2,FALSE),"")</f>
        <v/>
      </c>
      <c r="Q183" s="59" t="str">
        <f>IF(Table2[[#This Row],[tee time3]]&lt;&gt;"",COUNTIF('Summer FD - players'!$B$2:$B$65,"="&amp;Table2[[#This Row],[tee time3]]),"")</f>
        <v/>
      </c>
      <c r="R183" s="59" t="str">
        <f>_xlfn.IFNA(VLOOKUP(Table2[[#This Row],[tee time3]],'Summer FD - groups'!$A$3:$F$20,6,FALSE),"")</f>
        <v/>
      </c>
      <c r="S183" s="4" t="str">
        <f>_xlfn.IFNA(VLOOKUP(Table2[[#This Row],[tee time3]],'Summer FD - groups'!$A$3:$F$20,4,FALSE),"")</f>
        <v/>
      </c>
      <c r="T183" s="13" t="str">
        <f>_xlfn.IFNA(VLOOKUP(Table2[[#This Row],[tee time3]],'Summer FD - groups'!$A$3:$F$20,5,FALSE),"")</f>
        <v/>
      </c>
      <c r="U183" s="69" t="str">
        <f>IF(Table2[[#This Row],[avg gap]]&lt;&gt;"",IFERROR((MAX(starting_interval,IF(Table2[[#This Row],[gap3]]="NA",Table2[[#This Row],[avg gap]],Table2[[#This Row],[gap3]]))-starting_interval)*Table2[[#This Row],[followers3]]/Table2[[#This Row],[group size3]],""),"")</f>
        <v/>
      </c>
      <c r="V183" s="32" t="str">
        <f>_xlfn.IFNA(VLOOKUP(Table2[[#This Row],[Name]],'6-6-6 - players'!$A$2:$B$69,2,FALSE),"")</f>
        <v/>
      </c>
      <c r="W183" s="59" t="str">
        <f>IF(Table2[[#This Row],[tee time4]]&lt;&gt;"",COUNTIF('6-6-6 - players'!$B$2:$B$69,"="&amp;Table2[[#This Row],[tee time4]]),"")</f>
        <v/>
      </c>
      <c r="X183" s="59" t="str">
        <f>_xlfn.IFNA(VLOOKUP(Table2[[#This Row],[tee time4]],'6-6-6 - groups'!$A$3:$F$20,6,FALSE),"")</f>
        <v/>
      </c>
      <c r="Y183" s="4" t="str">
        <f>_xlfn.IFNA(VLOOKUP(Table2[[#This Row],[tee time4]],'6-6-6 - groups'!$A$3:$F$20,4,FALSE),"")</f>
        <v/>
      </c>
      <c r="Z183" s="13" t="str">
        <f>_xlfn.IFNA(VLOOKUP(Table2[[#This Row],[tee time4]],'6-6-6 - groups'!$A$3:$F$20,5,FALSE),"")</f>
        <v/>
      </c>
      <c r="AA183" s="69" t="str">
        <f>IF(Table2[[#This Row],[avg gap]]&lt;&gt;"",IFERROR((MAX(starting_interval,IF(Table2[[#This Row],[gap4]]="NA",Table2[[#This Row],[avg gap]],Table2[[#This Row],[gap4]]))-starting_interval)*Table2[[#This Row],[followers4]]/Table2[[#This Row],[group size4]],""),"")</f>
        <v/>
      </c>
      <c r="AB183" s="32" t="str">
        <f>_xlfn.IFNA(VLOOKUP(Table2[[#This Row],[Name]],'Fall FD - players'!$A$2:$B$65,2,FALSE),"")</f>
        <v/>
      </c>
      <c r="AC183" s="59" t="str">
        <f>IF(Table2[[#This Row],[tee time5]]&lt;&gt;"",COUNTIF('Fall FD - players'!$B$2:$B$65,"="&amp;Table2[[#This Row],[tee time5]]),"")</f>
        <v/>
      </c>
      <c r="AD183" s="59" t="str">
        <f>_xlfn.IFNA(VLOOKUP(Table2[[#This Row],[tee time5]],'Fall FD - groups'!$A$3:$F$20,6,FALSE),"")</f>
        <v/>
      </c>
      <c r="AE183" s="4" t="str">
        <f>_xlfn.IFNA(VLOOKUP(Table2[[#This Row],[tee time5]],'Fall FD - groups'!$A$3:$F$20,4,FALSE),"")</f>
        <v/>
      </c>
      <c r="AF183" s="13" t="str">
        <f>IFERROR(MIN(_xlfn.IFNA(VLOOKUP(Table2[[#This Row],[tee time5]],'Fall FD - groups'!$A$3:$F$20,5,FALSE),""),starting_interval + Table2[[#This Row],[round5]] - standard_round_time),"")</f>
        <v/>
      </c>
      <c r="AG183" s="69" t="str">
        <f>IF(AND(Table2[[#This Row],[gap5]]="NA",Table2[[#This Row],[round5]]&lt;4/24),0,IFERROR((MAX(starting_interval,IF(Table2[[#This Row],[gap5]]="NA",Table2[[#This Row],[avg gap]],Table2[[#This Row],[gap5]]))-starting_interval)*Table2[[#This Row],[followers5]]/Table2[[#This Row],[group size5]],""))</f>
        <v/>
      </c>
      <c r="AH183" s="32" t="str">
        <f>_xlfn.IFNA(VLOOKUP(Table2[[#This Row],[Name]],'Stableford - players'!$A$2:$B$65,2,FALSE),"")</f>
        <v/>
      </c>
      <c r="AI183" s="59" t="str">
        <f>IF(Table2[[#This Row],[tee time6]]&lt;&gt;"",COUNTIF('Stableford - players'!$B$2:$B$65,"="&amp;Table2[[#This Row],[tee time6]]),"")</f>
        <v/>
      </c>
      <c r="AJ183" s="59" t="str">
        <f>_xlfn.IFNA(VLOOKUP(Table2[[#This Row],[tee time6]],'Stableford - groups'!$A$3:$F$20,6,FALSE),"")</f>
        <v/>
      </c>
      <c r="AK183" s="11" t="str">
        <f>_xlfn.IFNA(VLOOKUP(Table2[[#This Row],[tee time6]],'Stableford - groups'!$A$3:$F$20,4,FALSE),"")</f>
        <v/>
      </c>
      <c r="AL183" s="13" t="str">
        <f>_xlfn.IFNA(VLOOKUP(Table2[[#This Row],[tee time6]],'Stableford - groups'!$A$3:$F$20,5,FALSE),"")</f>
        <v/>
      </c>
      <c r="AM183" s="68" t="str">
        <f>IF(AND(Table2[[#This Row],[gap6]]="NA",Table2[[#This Row],[round6]]&lt;4/24),0,IFERROR((MAX(starting_interval,IF(Table2[[#This Row],[gap6]]="NA",Table2[[#This Row],[avg gap]],Table2[[#This Row],[gap6]]))-starting_interval)*Table2[[#This Row],[followers6]]/Table2[[#This Row],[group size6]],""))</f>
        <v/>
      </c>
      <c r="AN183" s="32" t="str">
        <f>_xlfn.IFNA(VLOOKUP(Table2[[#This Row],[Name]],'Turkey Shoot - players'!$A$2:$B$65,2,FALSE),"")</f>
        <v/>
      </c>
      <c r="AO183" s="59" t="str">
        <f>IF(Table2[[#This Row],[tee time7]]&lt;&gt;"",COUNTIF('Turkey Shoot - players'!$B$2:$B$65,"="&amp;Table2[[#This Row],[tee time7]]),"")</f>
        <v/>
      </c>
      <c r="AP183" s="59" t="str">
        <f>_xlfn.IFNA(VLOOKUP(Table2[[#This Row],[tee time7]],'Stableford - groups'!$A$3:$F$20,6,FALSE),"")</f>
        <v/>
      </c>
      <c r="AQ183" s="11" t="str">
        <f>_xlfn.IFNA(VLOOKUP(Table2[[#This Row],[tee time7]],'Turkey Shoot - groups'!$A$3:$F$20,4,FALSE),"")</f>
        <v/>
      </c>
      <c r="AR183" s="13" t="str">
        <f>_xlfn.IFNA(VLOOKUP(Table2[[#This Row],[tee time7]],'Turkey Shoot - groups'!$A$3:$F$20,5,FALSE),"")</f>
        <v/>
      </c>
      <c r="AS183" s="68" t="str">
        <f>IF(AND(Table2[[#This Row],[gap7]]="NA",Table2[[#This Row],[round7]]&lt;4/24),0,IFERROR((MAX(starting_interval,IF(Table2[[#This Row],[gap7]]="NA",Table2[[#This Row],[avg gap]],Table2[[#This Row],[gap7]]))-starting_interval)*Table2[[#This Row],[followers7]]/Table2[[#This Row],[group size7]],""))</f>
        <v/>
      </c>
      <c r="AT183" s="72">
        <f>COUNT(Table2[[#This Row],[Tee time1]],Table2[[#This Row],[tee time2]],Table2[[#This Row],[tee time3]],Table2[[#This Row],[tee time4]],Table2[[#This Row],[tee time5]],Table2[[#This Row],[tee time6]],Table2[[#This Row],[tee time7]])</f>
        <v>0</v>
      </c>
      <c r="AU183" s="4" t="str">
        <f>IFERROR(AVERAGE(Table2[[#This Row],[Tee time1]],Table2[[#This Row],[tee time2]],Table2[[#This Row],[tee time3]],Table2[[#This Row],[tee time4]],Table2[[#This Row],[tee time5]],Table2[[#This Row],[tee time6]],Table2[[#This Row],[tee time7]]),"")</f>
        <v/>
      </c>
      <c r="AV183" s="11" t="str">
        <f>IFERROR(MEDIAN(Table2[[#This Row],[round1]],Table2[[#This Row],[Round2]],Table2[[#This Row],[round3]],Table2[[#This Row],[round4]],Table2[[#This Row],[round5]],Table2[[#This Row],[round6]],Table2[[#This Row],[round7]]),"")</f>
        <v/>
      </c>
      <c r="AW183" s="11" t="str">
        <f>IFERROR(AVERAGE(Table2[[#This Row],[gap1]],Table2[[#This Row],[gap2]],Table2[[#This Row],[gap3]],Table2[[#This Row],[gap4]],Table2[[#This Row],[gap5]],Table2[[#This Row],[gap6]],Table2[[#This Row],[gap7]]),"")</f>
        <v/>
      </c>
      <c r="AX183" s="9" t="str">
        <f>IFERROR((Table2[[#This Row],[avg gap]]-starting_interval)*24*60*Table2[[#This Row],[Count]],"NA")</f>
        <v>NA</v>
      </c>
      <c r="AY183"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83" s="2"/>
    </row>
    <row r="184" spans="1:52" hidden="1" x14ac:dyDescent="0.3">
      <c r="A184" s="10" t="s">
        <v>112</v>
      </c>
      <c r="B184" s="1" t="s">
        <v>352</v>
      </c>
      <c r="C184" s="19">
        <v>9.8000000000000007</v>
      </c>
      <c r="D184" s="32" t="str">
        <f>_xlfn.IFNA(VLOOKUP(Table2[[#This Row],[Name]],'Classic day 1 - players'!$A$2:$B$64,2,FALSE),"")</f>
        <v/>
      </c>
      <c r="E184" s="33" t="str">
        <f>IF(Table2[[#This Row],[Tee time1]]&lt;&gt;"",COUNTIF('Classic day 1 - players'!$B$2:$B$64,"="&amp;Table2[[#This Row],[Tee time1]]),"")</f>
        <v/>
      </c>
      <c r="F184" s="4" t="str">
        <f>_xlfn.IFNA(VLOOKUP(Table2[[#This Row],[Tee time1]],'Classic day 1 - groups'!$A$3:$F$20,6,FALSE),"")</f>
        <v/>
      </c>
      <c r="G184" s="11" t="str">
        <f>_xlfn.IFNA(VLOOKUP(Table2[[#This Row],[Tee time1]],'Classic day 1 - groups'!$A$3:$F$20,4,FALSE),"")</f>
        <v/>
      </c>
      <c r="H184" s="12" t="str">
        <f>_xlfn.IFNA(VLOOKUP(Table2[[#This Row],[Tee time1]],'Classic day 1 - groups'!$A$3:$F$20,5,FALSE),"")</f>
        <v/>
      </c>
      <c r="I184" s="69" t="str">
        <f>IFERROR((MAX(starting_interval,IF(Table2[[#This Row],[gap1]]="NA",Table2[[#This Row],[avg gap]],Table2[[#This Row],[gap1]]))-starting_interval)*Table2[[#This Row],[followers1]]/Table2[[#This Row],[group size]],"")</f>
        <v/>
      </c>
      <c r="J184" s="32" t="str">
        <f>_xlfn.IFNA(VLOOKUP(Table2[[#This Row],[Name]],'Classic day 2 - players'!$A$2:$B$64,2,FALSE),"")</f>
        <v/>
      </c>
      <c r="K184" s="4" t="str">
        <f>IF(Table2[[#This Row],[tee time2]]&lt;&gt;"",COUNTIF('Classic day 2 - players'!$B$2:$B$64,"="&amp;Table2[[#This Row],[tee time2]]),"")</f>
        <v/>
      </c>
      <c r="L184" s="4" t="str">
        <f>_xlfn.IFNA(VLOOKUP(Table2[[#This Row],[tee time2]],'Classic day 2 - groups'!$A$3:$F$20,6,FALSE),"")</f>
        <v/>
      </c>
      <c r="M184" s="4" t="str">
        <f>_xlfn.IFNA(VLOOKUP(Table2[[#This Row],[tee time2]],'Classic day 2 - groups'!$A$3:$F$20,4,FALSE),"")</f>
        <v/>
      </c>
      <c r="N184" s="65" t="str">
        <f>_xlfn.IFNA(VLOOKUP(Table2[[#This Row],[tee time2]],'Classic day 2 - groups'!$A$3:$F$20,5,FALSE),"")</f>
        <v/>
      </c>
      <c r="O184" s="69" t="str">
        <f>IFERROR((MAX(starting_interval,IF(Table2[[#This Row],[gap2]]="NA",Table2[[#This Row],[avg gap]],Table2[[#This Row],[gap2]]))-starting_interval)*Table2[[#This Row],[followers2]]/Table2[[#This Row],[group size2]],"")</f>
        <v/>
      </c>
      <c r="P184" s="32" t="str">
        <f>_xlfn.IFNA(VLOOKUP(Table2[[#This Row],[Name]],'Summer FD - players'!$A$2:$B$65,2,FALSE),"")</f>
        <v/>
      </c>
      <c r="Q184" s="59" t="str">
        <f>IF(Table2[[#This Row],[tee time3]]&lt;&gt;"",COUNTIF('Summer FD - players'!$B$2:$B$65,"="&amp;Table2[[#This Row],[tee time3]]),"")</f>
        <v/>
      </c>
      <c r="R184" s="59" t="str">
        <f>_xlfn.IFNA(VLOOKUP(Table2[[#This Row],[tee time3]],'Summer FD - groups'!$A$3:$F$20,6,FALSE),"")</f>
        <v/>
      </c>
      <c r="S184" s="4" t="str">
        <f>_xlfn.IFNA(VLOOKUP(Table2[[#This Row],[tee time3]],'Summer FD - groups'!$A$3:$F$20,4,FALSE),"")</f>
        <v/>
      </c>
      <c r="T184" s="13" t="str">
        <f>_xlfn.IFNA(VLOOKUP(Table2[[#This Row],[tee time3]],'Summer FD - groups'!$A$3:$F$20,5,FALSE),"")</f>
        <v/>
      </c>
      <c r="U184" s="69" t="str">
        <f>IF(Table2[[#This Row],[avg gap]]&lt;&gt;"",IFERROR((MAX(starting_interval,IF(Table2[[#This Row],[gap3]]="NA",Table2[[#This Row],[avg gap]],Table2[[#This Row],[gap3]]))-starting_interval)*Table2[[#This Row],[followers3]]/Table2[[#This Row],[group size3]],""),"")</f>
        <v/>
      </c>
      <c r="V184" s="32" t="str">
        <f>_xlfn.IFNA(VLOOKUP(Table2[[#This Row],[Name]],'6-6-6 - players'!$A$2:$B$69,2,FALSE),"")</f>
        <v/>
      </c>
      <c r="W184" s="59" t="str">
        <f>IF(Table2[[#This Row],[tee time4]]&lt;&gt;"",COUNTIF('6-6-6 - players'!$B$2:$B$69,"="&amp;Table2[[#This Row],[tee time4]]),"")</f>
        <v/>
      </c>
      <c r="X184" s="59" t="str">
        <f>_xlfn.IFNA(VLOOKUP(Table2[[#This Row],[tee time4]],'6-6-6 - groups'!$A$3:$F$20,6,FALSE),"")</f>
        <v/>
      </c>
      <c r="Y184" s="4" t="str">
        <f>_xlfn.IFNA(VLOOKUP(Table2[[#This Row],[tee time4]],'6-6-6 - groups'!$A$3:$F$20,4,FALSE),"")</f>
        <v/>
      </c>
      <c r="Z184" s="13" t="str">
        <f>_xlfn.IFNA(VLOOKUP(Table2[[#This Row],[tee time4]],'6-6-6 - groups'!$A$3:$F$20,5,FALSE),"")</f>
        <v/>
      </c>
      <c r="AA184" s="69" t="str">
        <f>IF(Table2[[#This Row],[avg gap]]&lt;&gt;"",IFERROR((MAX(starting_interval,IF(Table2[[#This Row],[gap4]]="NA",Table2[[#This Row],[avg gap]],Table2[[#This Row],[gap4]]))-starting_interval)*Table2[[#This Row],[followers4]]/Table2[[#This Row],[group size4]],""),"")</f>
        <v/>
      </c>
      <c r="AB184" s="32" t="str">
        <f>_xlfn.IFNA(VLOOKUP(Table2[[#This Row],[Name]],'Fall FD - players'!$A$2:$B$65,2,FALSE),"")</f>
        <v/>
      </c>
      <c r="AC184" s="59" t="str">
        <f>IF(Table2[[#This Row],[tee time5]]&lt;&gt;"",COUNTIF('Fall FD - players'!$B$2:$B$65,"="&amp;Table2[[#This Row],[tee time5]]),"")</f>
        <v/>
      </c>
      <c r="AD184" s="59" t="str">
        <f>_xlfn.IFNA(VLOOKUP(Table2[[#This Row],[tee time5]],'Fall FD - groups'!$A$3:$F$20,6,FALSE),"")</f>
        <v/>
      </c>
      <c r="AE184" s="4" t="str">
        <f>_xlfn.IFNA(VLOOKUP(Table2[[#This Row],[tee time5]],'Fall FD - groups'!$A$3:$F$20,4,FALSE),"")</f>
        <v/>
      </c>
      <c r="AF184" s="13" t="str">
        <f>IFERROR(MIN(_xlfn.IFNA(VLOOKUP(Table2[[#This Row],[tee time5]],'Fall FD - groups'!$A$3:$F$20,5,FALSE),""),starting_interval + Table2[[#This Row],[round5]] - standard_round_time),"")</f>
        <v/>
      </c>
      <c r="AG184" s="69" t="str">
        <f>IF(AND(Table2[[#This Row],[gap5]]="NA",Table2[[#This Row],[round5]]&lt;4/24),0,IFERROR((MAX(starting_interval,IF(Table2[[#This Row],[gap5]]="NA",Table2[[#This Row],[avg gap]],Table2[[#This Row],[gap5]]))-starting_interval)*Table2[[#This Row],[followers5]]/Table2[[#This Row],[group size5]],""))</f>
        <v/>
      </c>
      <c r="AH184" s="32" t="str">
        <f>_xlfn.IFNA(VLOOKUP(Table2[[#This Row],[Name]],'Stableford - players'!$A$2:$B$65,2,FALSE),"")</f>
        <v/>
      </c>
      <c r="AI184" s="59" t="str">
        <f>IF(Table2[[#This Row],[tee time6]]&lt;&gt;"",COUNTIF('Stableford - players'!$B$2:$B$65,"="&amp;Table2[[#This Row],[tee time6]]),"")</f>
        <v/>
      </c>
      <c r="AJ184" s="59" t="str">
        <f>_xlfn.IFNA(VLOOKUP(Table2[[#This Row],[tee time6]],'Stableford - groups'!$A$3:$F$20,6,FALSE),"")</f>
        <v/>
      </c>
      <c r="AK184" s="11" t="str">
        <f>_xlfn.IFNA(VLOOKUP(Table2[[#This Row],[tee time6]],'Stableford - groups'!$A$3:$F$20,4,FALSE),"")</f>
        <v/>
      </c>
      <c r="AL184" s="13" t="str">
        <f>_xlfn.IFNA(VLOOKUP(Table2[[#This Row],[tee time6]],'Stableford - groups'!$A$3:$F$20,5,FALSE),"")</f>
        <v/>
      </c>
      <c r="AM184" s="68" t="str">
        <f>IF(AND(Table2[[#This Row],[gap6]]="NA",Table2[[#This Row],[round6]]&lt;4/24),0,IFERROR((MAX(starting_interval,IF(Table2[[#This Row],[gap6]]="NA",Table2[[#This Row],[avg gap]],Table2[[#This Row],[gap6]]))-starting_interval)*Table2[[#This Row],[followers6]]/Table2[[#This Row],[group size6]],""))</f>
        <v/>
      </c>
      <c r="AN184" s="32" t="str">
        <f>_xlfn.IFNA(VLOOKUP(Table2[[#This Row],[Name]],'Turkey Shoot - players'!$A$2:$B$65,2,FALSE),"")</f>
        <v/>
      </c>
      <c r="AO184" s="59" t="str">
        <f>IF(Table2[[#This Row],[tee time7]]&lt;&gt;"",COUNTIF('Turkey Shoot - players'!$B$2:$B$65,"="&amp;Table2[[#This Row],[tee time7]]),"")</f>
        <v/>
      </c>
      <c r="AP184" s="59" t="str">
        <f>_xlfn.IFNA(VLOOKUP(Table2[[#This Row],[tee time7]],'Stableford - groups'!$A$3:$F$20,6,FALSE),"")</f>
        <v/>
      </c>
      <c r="AQ184" s="11" t="str">
        <f>_xlfn.IFNA(VLOOKUP(Table2[[#This Row],[tee time7]],'Turkey Shoot - groups'!$A$3:$F$20,4,FALSE),"")</f>
        <v/>
      </c>
      <c r="AR184" s="13" t="str">
        <f>_xlfn.IFNA(VLOOKUP(Table2[[#This Row],[tee time7]],'Turkey Shoot - groups'!$A$3:$F$20,5,FALSE),"")</f>
        <v/>
      </c>
      <c r="AS184" s="68" t="str">
        <f>IF(AND(Table2[[#This Row],[gap7]]="NA",Table2[[#This Row],[round7]]&lt;4/24),0,IFERROR((MAX(starting_interval,IF(Table2[[#This Row],[gap7]]="NA",Table2[[#This Row],[avg gap]],Table2[[#This Row],[gap7]]))-starting_interval)*Table2[[#This Row],[followers7]]/Table2[[#This Row],[group size7]],""))</f>
        <v/>
      </c>
      <c r="AT184" s="72">
        <f>COUNT(Table2[[#This Row],[Tee time1]],Table2[[#This Row],[tee time2]],Table2[[#This Row],[tee time3]],Table2[[#This Row],[tee time4]],Table2[[#This Row],[tee time5]],Table2[[#This Row],[tee time6]],Table2[[#This Row],[tee time7]])</f>
        <v>0</v>
      </c>
      <c r="AU184" s="4" t="str">
        <f>IFERROR(AVERAGE(Table2[[#This Row],[Tee time1]],Table2[[#This Row],[tee time2]],Table2[[#This Row],[tee time3]],Table2[[#This Row],[tee time4]],Table2[[#This Row],[tee time5]],Table2[[#This Row],[tee time6]],Table2[[#This Row],[tee time7]]),"")</f>
        <v/>
      </c>
      <c r="AV184" s="11" t="str">
        <f>IFERROR(MEDIAN(Table2[[#This Row],[round1]],Table2[[#This Row],[Round2]],Table2[[#This Row],[round3]],Table2[[#This Row],[round4]],Table2[[#This Row],[round5]],Table2[[#This Row],[round6]],Table2[[#This Row],[round7]]),"")</f>
        <v/>
      </c>
      <c r="AW184" s="11" t="str">
        <f>IFERROR(AVERAGE(Table2[[#This Row],[gap1]],Table2[[#This Row],[gap2]],Table2[[#This Row],[gap3]],Table2[[#This Row],[gap4]],Table2[[#This Row],[gap5]],Table2[[#This Row],[gap6]],Table2[[#This Row],[gap7]]),"")</f>
        <v/>
      </c>
      <c r="AX184" s="9" t="str">
        <f>IFERROR((Table2[[#This Row],[avg gap]]-starting_interval)*24*60*Table2[[#This Row],[Count]],"NA")</f>
        <v>NA</v>
      </c>
      <c r="AY184"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84" s="2"/>
    </row>
    <row r="185" spans="1:52" hidden="1" x14ac:dyDescent="0.3">
      <c r="A185" s="10" t="s">
        <v>115</v>
      </c>
      <c r="B185" s="1" t="s">
        <v>354</v>
      </c>
      <c r="C185" s="19">
        <v>18.399999999999999</v>
      </c>
      <c r="D185" s="32" t="str">
        <f>_xlfn.IFNA(VLOOKUP(Table2[[#This Row],[Name]],'Classic day 1 - players'!$A$2:$B$64,2,FALSE),"")</f>
        <v/>
      </c>
      <c r="E185" s="33" t="str">
        <f>IF(Table2[[#This Row],[Tee time1]]&lt;&gt;"",COUNTIF('Classic day 1 - players'!$B$2:$B$64,"="&amp;Table2[[#This Row],[Tee time1]]),"")</f>
        <v/>
      </c>
      <c r="F185" s="4" t="str">
        <f>_xlfn.IFNA(VLOOKUP(Table2[[#This Row],[Tee time1]],'Classic day 1 - groups'!$A$3:$F$20,6,FALSE),"")</f>
        <v/>
      </c>
      <c r="G185" s="11" t="str">
        <f>_xlfn.IFNA(VLOOKUP(Table2[[#This Row],[Tee time1]],'Classic day 1 - groups'!$A$3:$F$20,4,FALSE),"")</f>
        <v/>
      </c>
      <c r="H185" s="12" t="str">
        <f>_xlfn.IFNA(VLOOKUP(Table2[[#This Row],[Tee time1]],'Classic day 1 - groups'!$A$3:$F$20,5,FALSE),"")</f>
        <v/>
      </c>
      <c r="I185" s="69" t="str">
        <f>IFERROR((MAX(starting_interval,IF(Table2[[#This Row],[gap1]]="NA",Table2[[#This Row],[avg gap]],Table2[[#This Row],[gap1]]))-starting_interval)*Table2[[#This Row],[followers1]]/Table2[[#This Row],[group size]],"")</f>
        <v/>
      </c>
      <c r="J185" s="32" t="str">
        <f>_xlfn.IFNA(VLOOKUP(Table2[[#This Row],[Name]],'Classic day 2 - players'!$A$2:$B$64,2,FALSE),"")</f>
        <v/>
      </c>
      <c r="K185" s="4" t="str">
        <f>IF(Table2[[#This Row],[tee time2]]&lt;&gt;"",COUNTIF('Classic day 2 - players'!$B$2:$B$64,"="&amp;Table2[[#This Row],[tee time2]]),"")</f>
        <v/>
      </c>
      <c r="L185" s="4" t="str">
        <f>_xlfn.IFNA(VLOOKUP(Table2[[#This Row],[tee time2]],'Classic day 2 - groups'!$A$3:$F$20,6,FALSE),"")</f>
        <v/>
      </c>
      <c r="M185" s="4" t="str">
        <f>_xlfn.IFNA(VLOOKUP(Table2[[#This Row],[tee time2]],'Classic day 2 - groups'!$A$3:$F$20,4,FALSE),"")</f>
        <v/>
      </c>
      <c r="N185" s="65" t="str">
        <f>_xlfn.IFNA(VLOOKUP(Table2[[#This Row],[tee time2]],'Classic day 2 - groups'!$A$3:$F$20,5,FALSE),"")</f>
        <v/>
      </c>
      <c r="O185" s="69" t="str">
        <f>IFERROR((MAX(starting_interval,IF(Table2[[#This Row],[gap2]]="NA",Table2[[#This Row],[avg gap]],Table2[[#This Row],[gap2]]))-starting_interval)*Table2[[#This Row],[followers2]]/Table2[[#This Row],[group size2]],"")</f>
        <v/>
      </c>
      <c r="P185" s="32" t="str">
        <f>_xlfn.IFNA(VLOOKUP(Table2[[#This Row],[Name]],'Summer FD - players'!$A$2:$B$65,2,FALSE),"")</f>
        <v/>
      </c>
      <c r="Q185" s="59" t="str">
        <f>IF(Table2[[#This Row],[tee time3]]&lt;&gt;"",COUNTIF('Summer FD - players'!$B$2:$B$65,"="&amp;Table2[[#This Row],[tee time3]]),"")</f>
        <v/>
      </c>
      <c r="R185" s="59" t="str">
        <f>_xlfn.IFNA(VLOOKUP(Table2[[#This Row],[tee time3]],'Summer FD - groups'!$A$3:$F$20,6,FALSE),"")</f>
        <v/>
      </c>
      <c r="S185" s="4" t="str">
        <f>_xlfn.IFNA(VLOOKUP(Table2[[#This Row],[tee time3]],'Summer FD - groups'!$A$3:$F$20,4,FALSE),"")</f>
        <v/>
      </c>
      <c r="T185" s="13" t="str">
        <f>_xlfn.IFNA(VLOOKUP(Table2[[#This Row],[tee time3]],'Summer FD - groups'!$A$3:$F$20,5,FALSE),"")</f>
        <v/>
      </c>
      <c r="U185" s="69" t="str">
        <f>IF(Table2[[#This Row],[avg gap]]&lt;&gt;"",IFERROR((MAX(starting_interval,IF(Table2[[#This Row],[gap3]]="NA",Table2[[#This Row],[avg gap]],Table2[[#This Row],[gap3]]))-starting_interval)*Table2[[#This Row],[followers3]]/Table2[[#This Row],[group size3]],""),"")</f>
        <v/>
      </c>
      <c r="V185" s="32" t="str">
        <f>_xlfn.IFNA(VLOOKUP(Table2[[#This Row],[Name]],'6-6-6 - players'!$A$2:$B$69,2,FALSE),"")</f>
        <v/>
      </c>
      <c r="W185" s="59" t="str">
        <f>IF(Table2[[#This Row],[tee time4]]&lt;&gt;"",COUNTIF('6-6-6 - players'!$B$2:$B$69,"="&amp;Table2[[#This Row],[tee time4]]),"")</f>
        <v/>
      </c>
      <c r="X185" s="59" t="str">
        <f>_xlfn.IFNA(VLOOKUP(Table2[[#This Row],[tee time4]],'6-6-6 - groups'!$A$3:$F$20,6,FALSE),"")</f>
        <v/>
      </c>
      <c r="Y185" s="4" t="str">
        <f>_xlfn.IFNA(VLOOKUP(Table2[[#This Row],[tee time4]],'6-6-6 - groups'!$A$3:$F$20,4,FALSE),"")</f>
        <v/>
      </c>
      <c r="Z185" s="13" t="str">
        <f>_xlfn.IFNA(VLOOKUP(Table2[[#This Row],[tee time4]],'6-6-6 - groups'!$A$3:$F$20,5,FALSE),"")</f>
        <v/>
      </c>
      <c r="AA185" s="69" t="str">
        <f>IF(Table2[[#This Row],[avg gap]]&lt;&gt;"",IFERROR((MAX(starting_interval,IF(Table2[[#This Row],[gap4]]="NA",Table2[[#This Row],[avg gap]],Table2[[#This Row],[gap4]]))-starting_interval)*Table2[[#This Row],[followers4]]/Table2[[#This Row],[group size4]],""),"")</f>
        <v/>
      </c>
      <c r="AB185" s="32" t="str">
        <f>_xlfn.IFNA(VLOOKUP(Table2[[#This Row],[Name]],'Fall FD - players'!$A$2:$B$65,2,FALSE),"")</f>
        <v/>
      </c>
      <c r="AC185" s="59" t="str">
        <f>IF(Table2[[#This Row],[tee time5]]&lt;&gt;"",COUNTIF('Fall FD - players'!$B$2:$B$65,"="&amp;Table2[[#This Row],[tee time5]]),"")</f>
        <v/>
      </c>
      <c r="AD185" s="59" t="str">
        <f>_xlfn.IFNA(VLOOKUP(Table2[[#This Row],[tee time5]],'Fall FD - groups'!$A$3:$F$20,6,FALSE),"")</f>
        <v/>
      </c>
      <c r="AE185" s="4" t="str">
        <f>_xlfn.IFNA(VLOOKUP(Table2[[#This Row],[tee time5]],'Fall FD - groups'!$A$3:$F$20,4,FALSE),"")</f>
        <v/>
      </c>
      <c r="AF185" s="13" t="str">
        <f>IFERROR(MIN(_xlfn.IFNA(VLOOKUP(Table2[[#This Row],[tee time5]],'Fall FD - groups'!$A$3:$F$20,5,FALSE),""),starting_interval + Table2[[#This Row],[round5]] - standard_round_time),"")</f>
        <v/>
      </c>
      <c r="AG185" s="69" t="str">
        <f>IF(AND(Table2[[#This Row],[gap5]]="NA",Table2[[#This Row],[round5]]&lt;4/24),0,IFERROR((MAX(starting_interval,IF(Table2[[#This Row],[gap5]]="NA",Table2[[#This Row],[avg gap]],Table2[[#This Row],[gap5]]))-starting_interval)*Table2[[#This Row],[followers5]]/Table2[[#This Row],[group size5]],""))</f>
        <v/>
      </c>
      <c r="AH185" s="32" t="str">
        <f>_xlfn.IFNA(VLOOKUP(Table2[[#This Row],[Name]],'Stableford - players'!$A$2:$B$65,2,FALSE),"")</f>
        <v/>
      </c>
      <c r="AI185" s="59" t="str">
        <f>IF(Table2[[#This Row],[tee time6]]&lt;&gt;"",COUNTIF('Stableford - players'!$B$2:$B$65,"="&amp;Table2[[#This Row],[tee time6]]),"")</f>
        <v/>
      </c>
      <c r="AJ185" s="59" t="str">
        <f>_xlfn.IFNA(VLOOKUP(Table2[[#This Row],[tee time6]],'Stableford - groups'!$A$3:$F$20,6,FALSE),"")</f>
        <v/>
      </c>
      <c r="AK185" s="11" t="str">
        <f>_xlfn.IFNA(VLOOKUP(Table2[[#This Row],[tee time6]],'Stableford - groups'!$A$3:$F$20,4,FALSE),"")</f>
        <v/>
      </c>
      <c r="AL185" s="13" t="str">
        <f>_xlfn.IFNA(VLOOKUP(Table2[[#This Row],[tee time6]],'Stableford - groups'!$A$3:$F$20,5,FALSE),"")</f>
        <v/>
      </c>
      <c r="AM185" s="68" t="str">
        <f>IF(AND(Table2[[#This Row],[gap6]]="NA",Table2[[#This Row],[round6]]&lt;4/24),0,IFERROR((MAX(starting_interval,IF(Table2[[#This Row],[gap6]]="NA",Table2[[#This Row],[avg gap]],Table2[[#This Row],[gap6]]))-starting_interval)*Table2[[#This Row],[followers6]]/Table2[[#This Row],[group size6]],""))</f>
        <v/>
      </c>
      <c r="AN185" s="32" t="str">
        <f>_xlfn.IFNA(VLOOKUP(Table2[[#This Row],[Name]],'Turkey Shoot - players'!$A$2:$B$65,2,FALSE),"")</f>
        <v/>
      </c>
      <c r="AO185" s="59" t="str">
        <f>IF(Table2[[#This Row],[tee time7]]&lt;&gt;"",COUNTIF('Turkey Shoot - players'!$B$2:$B$65,"="&amp;Table2[[#This Row],[tee time7]]),"")</f>
        <v/>
      </c>
      <c r="AP185" s="59" t="str">
        <f>_xlfn.IFNA(VLOOKUP(Table2[[#This Row],[tee time7]],'Stableford - groups'!$A$3:$F$20,6,FALSE),"")</f>
        <v/>
      </c>
      <c r="AQ185" s="11" t="str">
        <f>_xlfn.IFNA(VLOOKUP(Table2[[#This Row],[tee time7]],'Turkey Shoot - groups'!$A$3:$F$20,4,FALSE),"")</f>
        <v/>
      </c>
      <c r="AR185" s="13" t="str">
        <f>_xlfn.IFNA(VLOOKUP(Table2[[#This Row],[tee time7]],'Turkey Shoot - groups'!$A$3:$F$20,5,FALSE),"")</f>
        <v/>
      </c>
      <c r="AS185" s="68" t="str">
        <f>IF(AND(Table2[[#This Row],[gap7]]="NA",Table2[[#This Row],[round7]]&lt;4/24),0,IFERROR((MAX(starting_interval,IF(Table2[[#This Row],[gap7]]="NA",Table2[[#This Row],[avg gap]],Table2[[#This Row],[gap7]]))-starting_interval)*Table2[[#This Row],[followers7]]/Table2[[#This Row],[group size7]],""))</f>
        <v/>
      </c>
      <c r="AT185" s="72">
        <f>COUNT(Table2[[#This Row],[Tee time1]],Table2[[#This Row],[tee time2]],Table2[[#This Row],[tee time3]],Table2[[#This Row],[tee time4]],Table2[[#This Row],[tee time5]],Table2[[#This Row],[tee time6]],Table2[[#This Row],[tee time7]])</f>
        <v>0</v>
      </c>
      <c r="AU185" s="4" t="str">
        <f>IFERROR(AVERAGE(Table2[[#This Row],[Tee time1]],Table2[[#This Row],[tee time2]],Table2[[#This Row],[tee time3]],Table2[[#This Row],[tee time4]],Table2[[#This Row],[tee time5]],Table2[[#This Row],[tee time6]],Table2[[#This Row],[tee time7]]),"")</f>
        <v/>
      </c>
      <c r="AV185" s="11" t="str">
        <f>IFERROR(MEDIAN(Table2[[#This Row],[round1]],Table2[[#This Row],[Round2]],Table2[[#This Row],[round3]],Table2[[#This Row],[round4]],Table2[[#This Row],[round5]],Table2[[#This Row],[round6]],Table2[[#This Row],[round7]]),"")</f>
        <v/>
      </c>
      <c r="AW185" s="11" t="str">
        <f>IFERROR(AVERAGE(Table2[[#This Row],[gap1]],Table2[[#This Row],[gap2]],Table2[[#This Row],[gap3]],Table2[[#This Row],[gap4]],Table2[[#This Row],[gap5]],Table2[[#This Row],[gap6]],Table2[[#This Row],[gap7]]),"")</f>
        <v/>
      </c>
      <c r="AX185" s="9" t="str">
        <f>IFERROR((Table2[[#This Row],[avg gap]]-starting_interval)*24*60*Table2[[#This Row],[Count]],"NA")</f>
        <v>NA</v>
      </c>
      <c r="AY185"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85" s="2"/>
    </row>
    <row r="186" spans="1:52" hidden="1" x14ac:dyDescent="0.3">
      <c r="A186" s="10" t="s">
        <v>116</v>
      </c>
      <c r="B186" s="1" t="s">
        <v>355</v>
      </c>
      <c r="C186" s="19">
        <v>19.3</v>
      </c>
      <c r="D186" s="32" t="str">
        <f>_xlfn.IFNA(VLOOKUP(Table2[[#This Row],[Name]],'Classic day 1 - players'!$A$2:$B$64,2,FALSE),"")</f>
        <v/>
      </c>
      <c r="E186" s="33" t="str">
        <f>IF(Table2[[#This Row],[Tee time1]]&lt;&gt;"",COUNTIF('Classic day 1 - players'!$B$2:$B$64,"="&amp;Table2[[#This Row],[Tee time1]]),"")</f>
        <v/>
      </c>
      <c r="F186" s="4" t="str">
        <f>_xlfn.IFNA(VLOOKUP(Table2[[#This Row],[Tee time1]],'Classic day 1 - groups'!$A$3:$F$20,6,FALSE),"")</f>
        <v/>
      </c>
      <c r="G186" s="11" t="str">
        <f>_xlfn.IFNA(VLOOKUP(Table2[[#This Row],[Tee time1]],'Classic day 1 - groups'!$A$3:$F$20,4,FALSE),"")</f>
        <v/>
      </c>
      <c r="H186" s="12" t="str">
        <f>_xlfn.IFNA(VLOOKUP(Table2[[#This Row],[Tee time1]],'Classic day 1 - groups'!$A$3:$F$20,5,FALSE),"")</f>
        <v/>
      </c>
      <c r="I186" s="69" t="str">
        <f>IFERROR((MAX(starting_interval,IF(Table2[[#This Row],[gap1]]="NA",Table2[[#This Row],[avg gap]],Table2[[#This Row],[gap1]]))-starting_interval)*Table2[[#This Row],[followers1]]/Table2[[#This Row],[group size]],"")</f>
        <v/>
      </c>
      <c r="J186" s="32" t="str">
        <f>_xlfn.IFNA(VLOOKUP(Table2[[#This Row],[Name]],'Classic day 2 - players'!$A$2:$B$64,2,FALSE),"")</f>
        <v/>
      </c>
      <c r="K186" s="4" t="str">
        <f>IF(Table2[[#This Row],[tee time2]]&lt;&gt;"",COUNTIF('Classic day 2 - players'!$B$2:$B$64,"="&amp;Table2[[#This Row],[tee time2]]),"")</f>
        <v/>
      </c>
      <c r="L186" s="4" t="str">
        <f>_xlfn.IFNA(VLOOKUP(Table2[[#This Row],[tee time2]],'Classic day 2 - groups'!$A$3:$F$20,6,FALSE),"")</f>
        <v/>
      </c>
      <c r="M186" s="4" t="str">
        <f>_xlfn.IFNA(VLOOKUP(Table2[[#This Row],[tee time2]],'Classic day 2 - groups'!$A$3:$F$20,4,FALSE),"")</f>
        <v/>
      </c>
      <c r="N186" s="65" t="str">
        <f>_xlfn.IFNA(VLOOKUP(Table2[[#This Row],[tee time2]],'Classic day 2 - groups'!$A$3:$F$20,5,FALSE),"")</f>
        <v/>
      </c>
      <c r="O186" s="69" t="str">
        <f>IFERROR((MAX(starting_interval,IF(Table2[[#This Row],[gap2]]="NA",Table2[[#This Row],[avg gap]],Table2[[#This Row],[gap2]]))-starting_interval)*Table2[[#This Row],[followers2]]/Table2[[#This Row],[group size2]],"")</f>
        <v/>
      </c>
      <c r="P186" s="32" t="str">
        <f>_xlfn.IFNA(VLOOKUP(Table2[[#This Row],[Name]],'Summer FD - players'!$A$2:$B$65,2,FALSE),"")</f>
        <v/>
      </c>
      <c r="Q186" s="59" t="str">
        <f>IF(Table2[[#This Row],[tee time3]]&lt;&gt;"",COUNTIF('Summer FD - players'!$B$2:$B$65,"="&amp;Table2[[#This Row],[tee time3]]),"")</f>
        <v/>
      </c>
      <c r="R186" s="59" t="str">
        <f>_xlfn.IFNA(VLOOKUP(Table2[[#This Row],[tee time3]],'Summer FD - groups'!$A$3:$F$20,6,FALSE),"")</f>
        <v/>
      </c>
      <c r="S186" s="4" t="str">
        <f>_xlfn.IFNA(VLOOKUP(Table2[[#This Row],[tee time3]],'Summer FD - groups'!$A$3:$F$20,4,FALSE),"")</f>
        <v/>
      </c>
      <c r="T186" s="13" t="str">
        <f>_xlfn.IFNA(VLOOKUP(Table2[[#This Row],[tee time3]],'Summer FD - groups'!$A$3:$F$20,5,FALSE),"")</f>
        <v/>
      </c>
      <c r="U186" s="69" t="str">
        <f>IF(Table2[[#This Row],[avg gap]]&lt;&gt;"",IFERROR((MAX(starting_interval,IF(Table2[[#This Row],[gap3]]="NA",Table2[[#This Row],[avg gap]],Table2[[#This Row],[gap3]]))-starting_interval)*Table2[[#This Row],[followers3]]/Table2[[#This Row],[group size3]],""),"")</f>
        <v/>
      </c>
      <c r="V186" s="32" t="str">
        <f>_xlfn.IFNA(VLOOKUP(Table2[[#This Row],[Name]],'6-6-6 - players'!$A$2:$B$69,2,FALSE),"")</f>
        <v/>
      </c>
      <c r="W186" s="59" t="str">
        <f>IF(Table2[[#This Row],[tee time4]]&lt;&gt;"",COUNTIF('6-6-6 - players'!$B$2:$B$69,"="&amp;Table2[[#This Row],[tee time4]]),"")</f>
        <v/>
      </c>
      <c r="X186" s="59" t="str">
        <f>_xlfn.IFNA(VLOOKUP(Table2[[#This Row],[tee time4]],'6-6-6 - groups'!$A$3:$F$20,6,FALSE),"")</f>
        <v/>
      </c>
      <c r="Y186" s="4" t="str">
        <f>_xlfn.IFNA(VLOOKUP(Table2[[#This Row],[tee time4]],'6-6-6 - groups'!$A$3:$F$20,4,FALSE),"")</f>
        <v/>
      </c>
      <c r="Z186" s="13" t="str">
        <f>_xlfn.IFNA(VLOOKUP(Table2[[#This Row],[tee time4]],'6-6-6 - groups'!$A$3:$F$20,5,FALSE),"")</f>
        <v/>
      </c>
      <c r="AA186" s="69" t="str">
        <f>IF(Table2[[#This Row],[avg gap]]&lt;&gt;"",IFERROR((MAX(starting_interval,IF(Table2[[#This Row],[gap4]]="NA",Table2[[#This Row],[avg gap]],Table2[[#This Row],[gap4]]))-starting_interval)*Table2[[#This Row],[followers4]]/Table2[[#This Row],[group size4]],""),"")</f>
        <v/>
      </c>
      <c r="AB186" s="32" t="str">
        <f>_xlfn.IFNA(VLOOKUP(Table2[[#This Row],[Name]],'Fall FD - players'!$A$2:$B$65,2,FALSE),"")</f>
        <v/>
      </c>
      <c r="AC186" s="59" t="str">
        <f>IF(Table2[[#This Row],[tee time5]]&lt;&gt;"",COUNTIF('Fall FD - players'!$B$2:$B$65,"="&amp;Table2[[#This Row],[tee time5]]),"")</f>
        <v/>
      </c>
      <c r="AD186" s="59" t="str">
        <f>_xlfn.IFNA(VLOOKUP(Table2[[#This Row],[tee time5]],'Fall FD - groups'!$A$3:$F$20,6,FALSE),"")</f>
        <v/>
      </c>
      <c r="AE186" s="4" t="str">
        <f>_xlfn.IFNA(VLOOKUP(Table2[[#This Row],[tee time5]],'Fall FD - groups'!$A$3:$F$20,4,FALSE),"")</f>
        <v/>
      </c>
      <c r="AF186" s="13" t="str">
        <f>IFERROR(MIN(_xlfn.IFNA(VLOOKUP(Table2[[#This Row],[tee time5]],'Fall FD - groups'!$A$3:$F$20,5,FALSE),""),starting_interval + Table2[[#This Row],[round5]] - standard_round_time),"")</f>
        <v/>
      </c>
      <c r="AG186" s="69" t="str">
        <f>IF(AND(Table2[[#This Row],[gap5]]="NA",Table2[[#This Row],[round5]]&lt;4/24),0,IFERROR((MAX(starting_interval,IF(Table2[[#This Row],[gap5]]="NA",Table2[[#This Row],[avg gap]],Table2[[#This Row],[gap5]]))-starting_interval)*Table2[[#This Row],[followers5]]/Table2[[#This Row],[group size5]],""))</f>
        <v/>
      </c>
      <c r="AH186" s="32" t="str">
        <f>_xlfn.IFNA(VLOOKUP(Table2[[#This Row],[Name]],'Stableford - players'!$A$2:$B$65,2,FALSE),"")</f>
        <v/>
      </c>
      <c r="AI186" s="59" t="str">
        <f>IF(Table2[[#This Row],[tee time6]]&lt;&gt;"",COUNTIF('Stableford - players'!$B$2:$B$65,"="&amp;Table2[[#This Row],[tee time6]]),"")</f>
        <v/>
      </c>
      <c r="AJ186" s="59" t="str">
        <f>_xlfn.IFNA(VLOOKUP(Table2[[#This Row],[tee time6]],'Stableford - groups'!$A$3:$F$20,6,FALSE),"")</f>
        <v/>
      </c>
      <c r="AK186" s="11" t="str">
        <f>_xlfn.IFNA(VLOOKUP(Table2[[#This Row],[tee time6]],'Stableford - groups'!$A$3:$F$20,4,FALSE),"")</f>
        <v/>
      </c>
      <c r="AL186" s="13" t="str">
        <f>_xlfn.IFNA(VLOOKUP(Table2[[#This Row],[tee time6]],'Stableford - groups'!$A$3:$F$20,5,FALSE),"")</f>
        <v/>
      </c>
      <c r="AM186" s="68" t="str">
        <f>IF(AND(Table2[[#This Row],[gap6]]="NA",Table2[[#This Row],[round6]]&lt;4/24),0,IFERROR((MAX(starting_interval,IF(Table2[[#This Row],[gap6]]="NA",Table2[[#This Row],[avg gap]],Table2[[#This Row],[gap6]]))-starting_interval)*Table2[[#This Row],[followers6]]/Table2[[#This Row],[group size6]],""))</f>
        <v/>
      </c>
      <c r="AN186" s="32" t="str">
        <f>_xlfn.IFNA(VLOOKUP(Table2[[#This Row],[Name]],'Turkey Shoot - players'!$A$2:$B$65,2,FALSE),"")</f>
        <v/>
      </c>
      <c r="AO186" s="59" t="str">
        <f>IF(Table2[[#This Row],[tee time7]]&lt;&gt;"",COUNTIF('Turkey Shoot - players'!$B$2:$B$65,"="&amp;Table2[[#This Row],[tee time7]]),"")</f>
        <v/>
      </c>
      <c r="AP186" s="59" t="str">
        <f>_xlfn.IFNA(VLOOKUP(Table2[[#This Row],[tee time7]],'Stableford - groups'!$A$3:$F$20,6,FALSE),"")</f>
        <v/>
      </c>
      <c r="AQ186" s="11" t="str">
        <f>_xlfn.IFNA(VLOOKUP(Table2[[#This Row],[tee time7]],'Turkey Shoot - groups'!$A$3:$F$20,4,FALSE),"")</f>
        <v/>
      </c>
      <c r="AR186" s="13" t="str">
        <f>_xlfn.IFNA(VLOOKUP(Table2[[#This Row],[tee time7]],'Turkey Shoot - groups'!$A$3:$F$20,5,FALSE),"")</f>
        <v/>
      </c>
      <c r="AS186" s="68" t="str">
        <f>IF(AND(Table2[[#This Row],[gap7]]="NA",Table2[[#This Row],[round7]]&lt;4/24),0,IFERROR((MAX(starting_interval,IF(Table2[[#This Row],[gap7]]="NA",Table2[[#This Row],[avg gap]],Table2[[#This Row],[gap7]]))-starting_interval)*Table2[[#This Row],[followers7]]/Table2[[#This Row],[group size7]],""))</f>
        <v/>
      </c>
      <c r="AT186" s="72">
        <f>COUNT(Table2[[#This Row],[Tee time1]],Table2[[#This Row],[tee time2]],Table2[[#This Row],[tee time3]],Table2[[#This Row],[tee time4]],Table2[[#This Row],[tee time5]],Table2[[#This Row],[tee time6]],Table2[[#This Row],[tee time7]])</f>
        <v>0</v>
      </c>
      <c r="AU186" s="4" t="str">
        <f>IFERROR(AVERAGE(Table2[[#This Row],[Tee time1]],Table2[[#This Row],[tee time2]],Table2[[#This Row],[tee time3]],Table2[[#This Row],[tee time4]],Table2[[#This Row],[tee time5]],Table2[[#This Row],[tee time6]],Table2[[#This Row],[tee time7]]),"")</f>
        <v/>
      </c>
      <c r="AV186" s="11" t="str">
        <f>IFERROR(MEDIAN(Table2[[#This Row],[round1]],Table2[[#This Row],[Round2]],Table2[[#This Row],[round3]],Table2[[#This Row],[round4]],Table2[[#This Row],[round5]],Table2[[#This Row],[round6]],Table2[[#This Row],[round7]]),"")</f>
        <v/>
      </c>
      <c r="AW186" s="11" t="str">
        <f>IFERROR(AVERAGE(Table2[[#This Row],[gap1]],Table2[[#This Row],[gap2]],Table2[[#This Row],[gap3]],Table2[[#This Row],[gap4]],Table2[[#This Row],[gap5]],Table2[[#This Row],[gap6]],Table2[[#This Row],[gap7]]),"")</f>
        <v/>
      </c>
      <c r="AX186" s="9" t="str">
        <f>IFERROR((Table2[[#This Row],[avg gap]]-starting_interval)*24*60*Table2[[#This Row],[Count]],"NA")</f>
        <v>NA</v>
      </c>
      <c r="AY186"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86" s="2"/>
    </row>
    <row r="187" spans="1:52" hidden="1" x14ac:dyDescent="0.3">
      <c r="A187" s="10" t="s">
        <v>118</v>
      </c>
      <c r="B187" s="1" t="s">
        <v>357</v>
      </c>
      <c r="C187" s="19">
        <v>15.5</v>
      </c>
      <c r="D187" s="32" t="str">
        <f>_xlfn.IFNA(VLOOKUP(Table2[[#This Row],[Name]],'Classic day 1 - players'!$A$2:$B$64,2,FALSE),"")</f>
        <v/>
      </c>
      <c r="E187" s="33" t="str">
        <f>IF(Table2[[#This Row],[Tee time1]]&lt;&gt;"",COUNTIF('Classic day 1 - players'!$B$2:$B$64,"="&amp;Table2[[#This Row],[Tee time1]]),"")</f>
        <v/>
      </c>
      <c r="F187" s="4" t="str">
        <f>_xlfn.IFNA(VLOOKUP(Table2[[#This Row],[Tee time1]],'Classic day 1 - groups'!$A$3:$F$20,6,FALSE),"")</f>
        <v/>
      </c>
      <c r="G187" s="11" t="str">
        <f>_xlfn.IFNA(VLOOKUP(Table2[[#This Row],[Tee time1]],'Classic day 1 - groups'!$A$3:$F$20,4,FALSE),"")</f>
        <v/>
      </c>
      <c r="H187" s="12" t="str">
        <f>_xlfn.IFNA(VLOOKUP(Table2[[#This Row],[Tee time1]],'Classic day 1 - groups'!$A$3:$F$20,5,FALSE),"")</f>
        <v/>
      </c>
      <c r="I187" s="69" t="str">
        <f>IFERROR((MAX(starting_interval,IF(Table2[[#This Row],[gap1]]="NA",Table2[[#This Row],[avg gap]],Table2[[#This Row],[gap1]]))-starting_interval)*Table2[[#This Row],[followers1]]/Table2[[#This Row],[group size]],"")</f>
        <v/>
      </c>
      <c r="J187" s="32" t="str">
        <f>_xlfn.IFNA(VLOOKUP(Table2[[#This Row],[Name]],'Classic day 2 - players'!$A$2:$B$64,2,FALSE),"")</f>
        <v/>
      </c>
      <c r="K187" s="4" t="str">
        <f>IF(Table2[[#This Row],[tee time2]]&lt;&gt;"",COUNTIF('Classic day 2 - players'!$B$2:$B$64,"="&amp;Table2[[#This Row],[tee time2]]),"")</f>
        <v/>
      </c>
      <c r="L187" s="4" t="str">
        <f>_xlfn.IFNA(VLOOKUP(Table2[[#This Row],[tee time2]],'Classic day 2 - groups'!$A$3:$F$20,6,FALSE),"")</f>
        <v/>
      </c>
      <c r="M187" s="4" t="str">
        <f>_xlfn.IFNA(VLOOKUP(Table2[[#This Row],[tee time2]],'Classic day 2 - groups'!$A$3:$F$20,4,FALSE),"")</f>
        <v/>
      </c>
      <c r="N187" s="65" t="str">
        <f>_xlfn.IFNA(VLOOKUP(Table2[[#This Row],[tee time2]],'Classic day 2 - groups'!$A$3:$F$20,5,FALSE),"")</f>
        <v/>
      </c>
      <c r="O187" s="69" t="str">
        <f>IFERROR((MAX(starting_interval,IF(Table2[[#This Row],[gap2]]="NA",Table2[[#This Row],[avg gap]],Table2[[#This Row],[gap2]]))-starting_interval)*Table2[[#This Row],[followers2]]/Table2[[#This Row],[group size2]],"")</f>
        <v/>
      </c>
      <c r="P187" s="32" t="str">
        <f>_xlfn.IFNA(VLOOKUP(Table2[[#This Row],[Name]],'Summer FD - players'!$A$2:$B$65,2,FALSE),"")</f>
        <v/>
      </c>
      <c r="Q187" s="59" t="str">
        <f>IF(Table2[[#This Row],[tee time3]]&lt;&gt;"",COUNTIF('Summer FD - players'!$B$2:$B$65,"="&amp;Table2[[#This Row],[tee time3]]),"")</f>
        <v/>
      </c>
      <c r="R187" s="59" t="str">
        <f>_xlfn.IFNA(VLOOKUP(Table2[[#This Row],[tee time3]],'Summer FD - groups'!$A$3:$F$20,6,FALSE),"")</f>
        <v/>
      </c>
      <c r="S187" s="4" t="str">
        <f>_xlfn.IFNA(VLOOKUP(Table2[[#This Row],[tee time3]],'Summer FD - groups'!$A$3:$F$20,4,FALSE),"")</f>
        <v/>
      </c>
      <c r="T187" s="13" t="str">
        <f>_xlfn.IFNA(VLOOKUP(Table2[[#This Row],[tee time3]],'Summer FD - groups'!$A$3:$F$20,5,FALSE),"")</f>
        <v/>
      </c>
      <c r="U187" s="69" t="str">
        <f>IF(Table2[[#This Row],[avg gap]]&lt;&gt;"",IFERROR((MAX(starting_interval,IF(Table2[[#This Row],[gap3]]="NA",Table2[[#This Row],[avg gap]],Table2[[#This Row],[gap3]]))-starting_interval)*Table2[[#This Row],[followers3]]/Table2[[#This Row],[group size3]],""),"")</f>
        <v/>
      </c>
      <c r="V187" s="32" t="str">
        <f>_xlfn.IFNA(VLOOKUP(Table2[[#This Row],[Name]],'6-6-6 - players'!$A$2:$B$69,2,FALSE),"")</f>
        <v/>
      </c>
      <c r="W187" s="59" t="str">
        <f>IF(Table2[[#This Row],[tee time4]]&lt;&gt;"",COUNTIF('6-6-6 - players'!$B$2:$B$69,"="&amp;Table2[[#This Row],[tee time4]]),"")</f>
        <v/>
      </c>
      <c r="X187" s="59" t="str">
        <f>_xlfn.IFNA(VLOOKUP(Table2[[#This Row],[tee time4]],'6-6-6 - groups'!$A$3:$F$20,6,FALSE),"")</f>
        <v/>
      </c>
      <c r="Y187" s="4" t="str">
        <f>_xlfn.IFNA(VLOOKUP(Table2[[#This Row],[tee time4]],'6-6-6 - groups'!$A$3:$F$20,4,FALSE),"")</f>
        <v/>
      </c>
      <c r="Z187" s="13" t="str">
        <f>_xlfn.IFNA(VLOOKUP(Table2[[#This Row],[tee time4]],'6-6-6 - groups'!$A$3:$F$20,5,FALSE),"")</f>
        <v/>
      </c>
      <c r="AA187" s="69" t="str">
        <f>IF(Table2[[#This Row],[avg gap]]&lt;&gt;"",IFERROR((MAX(starting_interval,IF(Table2[[#This Row],[gap4]]="NA",Table2[[#This Row],[avg gap]],Table2[[#This Row],[gap4]]))-starting_interval)*Table2[[#This Row],[followers4]]/Table2[[#This Row],[group size4]],""),"")</f>
        <v/>
      </c>
      <c r="AB187" s="32" t="str">
        <f>_xlfn.IFNA(VLOOKUP(Table2[[#This Row],[Name]],'Fall FD - players'!$A$2:$B$65,2,FALSE),"")</f>
        <v/>
      </c>
      <c r="AC187" s="59" t="str">
        <f>IF(Table2[[#This Row],[tee time5]]&lt;&gt;"",COUNTIF('Fall FD - players'!$B$2:$B$65,"="&amp;Table2[[#This Row],[tee time5]]),"")</f>
        <v/>
      </c>
      <c r="AD187" s="59" t="str">
        <f>_xlfn.IFNA(VLOOKUP(Table2[[#This Row],[tee time5]],'Fall FD - groups'!$A$3:$F$20,6,FALSE),"")</f>
        <v/>
      </c>
      <c r="AE187" s="4" t="str">
        <f>_xlfn.IFNA(VLOOKUP(Table2[[#This Row],[tee time5]],'Fall FD - groups'!$A$3:$F$20,4,FALSE),"")</f>
        <v/>
      </c>
      <c r="AF187" s="13" t="str">
        <f>IFERROR(MIN(_xlfn.IFNA(VLOOKUP(Table2[[#This Row],[tee time5]],'Fall FD - groups'!$A$3:$F$20,5,FALSE),""),starting_interval + Table2[[#This Row],[round5]] - standard_round_time),"")</f>
        <v/>
      </c>
      <c r="AG187" s="69" t="str">
        <f>IF(AND(Table2[[#This Row],[gap5]]="NA",Table2[[#This Row],[round5]]&lt;4/24),0,IFERROR((MAX(starting_interval,IF(Table2[[#This Row],[gap5]]="NA",Table2[[#This Row],[avg gap]],Table2[[#This Row],[gap5]]))-starting_interval)*Table2[[#This Row],[followers5]]/Table2[[#This Row],[group size5]],""))</f>
        <v/>
      </c>
      <c r="AH187" s="32" t="str">
        <f>_xlfn.IFNA(VLOOKUP(Table2[[#This Row],[Name]],'Stableford - players'!$A$2:$B$65,2,FALSE),"")</f>
        <v/>
      </c>
      <c r="AI187" s="59" t="str">
        <f>IF(Table2[[#This Row],[tee time6]]&lt;&gt;"",COUNTIF('Stableford - players'!$B$2:$B$65,"="&amp;Table2[[#This Row],[tee time6]]),"")</f>
        <v/>
      </c>
      <c r="AJ187" s="59" t="str">
        <f>_xlfn.IFNA(VLOOKUP(Table2[[#This Row],[tee time6]],'Stableford - groups'!$A$3:$F$20,6,FALSE),"")</f>
        <v/>
      </c>
      <c r="AK187" s="11" t="str">
        <f>_xlfn.IFNA(VLOOKUP(Table2[[#This Row],[tee time6]],'Stableford - groups'!$A$3:$F$20,4,FALSE),"")</f>
        <v/>
      </c>
      <c r="AL187" s="13" t="str">
        <f>_xlfn.IFNA(VLOOKUP(Table2[[#This Row],[tee time6]],'Stableford - groups'!$A$3:$F$20,5,FALSE),"")</f>
        <v/>
      </c>
      <c r="AM187" s="68" t="str">
        <f>IF(AND(Table2[[#This Row],[gap6]]="NA",Table2[[#This Row],[round6]]&lt;4/24),0,IFERROR((MAX(starting_interval,IF(Table2[[#This Row],[gap6]]="NA",Table2[[#This Row],[avg gap]],Table2[[#This Row],[gap6]]))-starting_interval)*Table2[[#This Row],[followers6]]/Table2[[#This Row],[group size6]],""))</f>
        <v/>
      </c>
      <c r="AN187" s="32" t="str">
        <f>_xlfn.IFNA(VLOOKUP(Table2[[#This Row],[Name]],'Turkey Shoot - players'!$A$2:$B$65,2,FALSE),"")</f>
        <v/>
      </c>
      <c r="AO187" s="59" t="str">
        <f>IF(Table2[[#This Row],[tee time7]]&lt;&gt;"",COUNTIF('Turkey Shoot - players'!$B$2:$B$65,"="&amp;Table2[[#This Row],[tee time7]]),"")</f>
        <v/>
      </c>
      <c r="AP187" s="59" t="str">
        <f>_xlfn.IFNA(VLOOKUP(Table2[[#This Row],[tee time7]],'Stableford - groups'!$A$3:$F$20,6,FALSE),"")</f>
        <v/>
      </c>
      <c r="AQ187" s="11" t="str">
        <f>_xlfn.IFNA(VLOOKUP(Table2[[#This Row],[tee time7]],'Turkey Shoot - groups'!$A$3:$F$20,4,FALSE),"")</f>
        <v/>
      </c>
      <c r="AR187" s="13" t="str">
        <f>_xlfn.IFNA(VLOOKUP(Table2[[#This Row],[tee time7]],'Turkey Shoot - groups'!$A$3:$F$20,5,FALSE),"")</f>
        <v/>
      </c>
      <c r="AS187" s="68" t="str">
        <f>IF(AND(Table2[[#This Row],[gap7]]="NA",Table2[[#This Row],[round7]]&lt;4/24),0,IFERROR((MAX(starting_interval,IF(Table2[[#This Row],[gap7]]="NA",Table2[[#This Row],[avg gap]],Table2[[#This Row],[gap7]]))-starting_interval)*Table2[[#This Row],[followers7]]/Table2[[#This Row],[group size7]],""))</f>
        <v/>
      </c>
      <c r="AT187" s="72">
        <f>COUNT(Table2[[#This Row],[Tee time1]],Table2[[#This Row],[tee time2]],Table2[[#This Row],[tee time3]],Table2[[#This Row],[tee time4]],Table2[[#This Row],[tee time5]],Table2[[#This Row],[tee time6]],Table2[[#This Row],[tee time7]])</f>
        <v>0</v>
      </c>
      <c r="AU187" s="4" t="str">
        <f>IFERROR(AVERAGE(Table2[[#This Row],[Tee time1]],Table2[[#This Row],[tee time2]],Table2[[#This Row],[tee time3]],Table2[[#This Row],[tee time4]],Table2[[#This Row],[tee time5]],Table2[[#This Row],[tee time6]],Table2[[#This Row],[tee time7]]),"")</f>
        <v/>
      </c>
      <c r="AV187" s="11" t="str">
        <f>IFERROR(MEDIAN(Table2[[#This Row],[round1]],Table2[[#This Row],[Round2]],Table2[[#This Row],[round3]],Table2[[#This Row],[round4]],Table2[[#This Row],[round5]],Table2[[#This Row],[round6]],Table2[[#This Row],[round7]]),"")</f>
        <v/>
      </c>
      <c r="AW187" s="11" t="str">
        <f>IFERROR(AVERAGE(Table2[[#This Row],[gap1]],Table2[[#This Row],[gap2]],Table2[[#This Row],[gap3]],Table2[[#This Row],[gap4]],Table2[[#This Row],[gap5]],Table2[[#This Row],[gap6]],Table2[[#This Row],[gap7]]),"")</f>
        <v/>
      </c>
      <c r="AX187" s="9" t="str">
        <f>IFERROR((Table2[[#This Row],[avg gap]]-starting_interval)*24*60*Table2[[#This Row],[Count]],"NA")</f>
        <v>NA</v>
      </c>
      <c r="AY187"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87" s="2"/>
    </row>
    <row r="188" spans="1:52" hidden="1" x14ac:dyDescent="0.3">
      <c r="A188" s="10" t="s">
        <v>121</v>
      </c>
      <c r="B188" s="1" t="s">
        <v>361</v>
      </c>
      <c r="C188" s="19">
        <v>7.1</v>
      </c>
      <c r="D188" s="32" t="str">
        <f>_xlfn.IFNA(VLOOKUP(Table2[[#This Row],[Name]],'Classic day 1 - players'!$A$2:$B$64,2,FALSE),"")</f>
        <v/>
      </c>
      <c r="E188" s="33" t="str">
        <f>IF(Table2[[#This Row],[Tee time1]]&lt;&gt;"",COUNTIF('Classic day 1 - players'!$B$2:$B$64,"="&amp;Table2[[#This Row],[Tee time1]]),"")</f>
        <v/>
      </c>
      <c r="F188" s="4" t="str">
        <f>_xlfn.IFNA(VLOOKUP(Table2[[#This Row],[Tee time1]],'Classic day 1 - groups'!$A$3:$F$20,6,FALSE),"")</f>
        <v/>
      </c>
      <c r="G188" s="11" t="str">
        <f>_xlfn.IFNA(VLOOKUP(Table2[[#This Row],[Tee time1]],'Classic day 1 - groups'!$A$3:$F$20,4,FALSE),"")</f>
        <v/>
      </c>
      <c r="H188" s="12" t="str">
        <f>_xlfn.IFNA(VLOOKUP(Table2[[#This Row],[Tee time1]],'Classic day 1 - groups'!$A$3:$F$20,5,FALSE),"")</f>
        <v/>
      </c>
      <c r="I188" s="69" t="str">
        <f>IFERROR((MAX(starting_interval,IF(Table2[[#This Row],[gap1]]="NA",Table2[[#This Row],[avg gap]],Table2[[#This Row],[gap1]]))-starting_interval)*Table2[[#This Row],[followers1]]/Table2[[#This Row],[group size]],"")</f>
        <v/>
      </c>
      <c r="J188" s="32" t="str">
        <f>_xlfn.IFNA(VLOOKUP(Table2[[#This Row],[Name]],'Classic day 2 - players'!$A$2:$B$64,2,FALSE),"")</f>
        <v/>
      </c>
      <c r="K188" s="4" t="str">
        <f>IF(Table2[[#This Row],[tee time2]]&lt;&gt;"",COUNTIF('Classic day 2 - players'!$B$2:$B$64,"="&amp;Table2[[#This Row],[tee time2]]),"")</f>
        <v/>
      </c>
      <c r="L188" s="4" t="str">
        <f>_xlfn.IFNA(VLOOKUP(Table2[[#This Row],[tee time2]],'Classic day 2 - groups'!$A$3:$F$20,6,FALSE),"")</f>
        <v/>
      </c>
      <c r="M188" s="4" t="str">
        <f>_xlfn.IFNA(VLOOKUP(Table2[[#This Row],[tee time2]],'Classic day 2 - groups'!$A$3:$F$20,4,FALSE),"")</f>
        <v/>
      </c>
      <c r="N188" s="65" t="str">
        <f>_xlfn.IFNA(VLOOKUP(Table2[[#This Row],[tee time2]],'Classic day 2 - groups'!$A$3:$F$20,5,FALSE),"")</f>
        <v/>
      </c>
      <c r="O188" s="69" t="str">
        <f>IFERROR((MAX(starting_interval,IF(Table2[[#This Row],[gap2]]="NA",Table2[[#This Row],[avg gap]],Table2[[#This Row],[gap2]]))-starting_interval)*Table2[[#This Row],[followers2]]/Table2[[#This Row],[group size2]],"")</f>
        <v/>
      </c>
      <c r="P188" s="32" t="str">
        <f>_xlfn.IFNA(VLOOKUP(Table2[[#This Row],[Name]],'Summer FD - players'!$A$2:$B$65,2,FALSE),"")</f>
        <v/>
      </c>
      <c r="Q188" s="59" t="str">
        <f>IF(Table2[[#This Row],[tee time3]]&lt;&gt;"",COUNTIF('Summer FD - players'!$B$2:$B$65,"="&amp;Table2[[#This Row],[tee time3]]),"")</f>
        <v/>
      </c>
      <c r="R188" s="59" t="str">
        <f>_xlfn.IFNA(VLOOKUP(Table2[[#This Row],[tee time3]],'Summer FD - groups'!$A$3:$F$20,6,FALSE),"")</f>
        <v/>
      </c>
      <c r="S188" s="4" t="str">
        <f>_xlfn.IFNA(VLOOKUP(Table2[[#This Row],[tee time3]],'Summer FD - groups'!$A$3:$F$20,4,FALSE),"")</f>
        <v/>
      </c>
      <c r="T188" s="13" t="str">
        <f>_xlfn.IFNA(VLOOKUP(Table2[[#This Row],[tee time3]],'Summer FD - groups'!$A$3:$F$20,5,FALSE),"")</f>
        <v/>
      </c>
      <c r="U188" s="69" t="str">
        <f>IF(Table2[[#This Row],[avg gap]]&lt;&gt;"",IFERROR((MAX(starting_interval,IF(Table2[[#This Row],[gap3]]="NA",Table2[[#This Row],[avg gap]],Table2[[#This Row],[gap3]]))-starting_interval)*Table2[[#This Row],[followers3]]/Table2[[#This Row],[group size3]],""),"")</f>
        <v/>
      </c>
      <c r="V188" s="32" t="str">
        <f>_xlfn.IFNA(VLOOKUP(Table2[[#This Row],[Name]],'6-6-6 - players'!$A$2:$B$69,2,FALSE),"")</f>
        <v/>
      </c>
      <c r="W188" s="59" t="str">
        <f>IF(Table2[[#This Row],[tee time4]]&lt;&gt;"",COUNTIF('6-6-6 - players'!$B$2:$B$69,"="&amp;Table2[[#This Row],[tee time4]]),"")</f>
        <v/>
      </c>
      <c r="X188" s="59" t="str">
        <f>_xlfn.IFNA(VLOOKUP(Table2[[#This Row],[tee time4]],'6-6-6 - groups'!$A$3:$F$20,6,FALSE),"")</f>
        <v/>
      </c>
      <c r="Y188" s="4" t="str">
        <f>_xlfn.IFNA(VLOOKUP(Table2[[#This Row],[tee time4]],'6-6-6 - groups'!$A$3:$F$20,4,FALSE),"")</f>
        <v/>
      </c>
      <c r="Z188" s="13" t="str">
        <f>_xlfn.IFNA(VLOOKUP(Table2[[#This Row],[tee time4]],'6-6-6 - groups'!$A$3:$F$20,5,FALSE),"")</f>
        <v/>
      </c>
      <c r="AA188" s="69" t="str">
        <f>IF(Table2[[#This Row],[avg gap]]&lt;&gt;"",IFERROR((MAX(starting_interval,IF(Table2[[#This Row],[gap4]]="NA",Table2[[#This Row],[avg gap]],Table2[[#This Row],[gap4]]))-starting_interval)*Table2[[#This Row],[followers4]]/Table2[[#This Row],[group size4]],""),"")</f>
        <v/>
      </c>
      <c r="AB188" s="32" t="str">
        <f>_xlfn.IFNA(VLOOKUP(Table2[[#This Row],[Name]],'Fall FD - players'!$A$2:$B$65,2,FALSE),"")</f>
        <v/>
      </c>
      <c r="AC188" s="59" t="str">
        <f>IF(Table2[[#This Row],[tee time5]]&lt;&gt;"",COUNTIF('Fall FD - players'!$B$2:$B$65,"="&amp;Table2[[#This Row],[tee time5]]),"")</f>
        <v/>
      </c>
      <c r="AD188" s="59" t="str">
        <f>_xlfn.IFNA(VLOOKUP(Table2[[#This Row],[tee time5]],'Fall FD - groups'!$A$3:$F$20,6,FALSE),"")</f>
        <v/>
      </c>
      <c r="AE188" s="4" t="str">
        <f>_xlfn.IFNA(VLOOKUP(Table2[[#This Row],[tee time5]],'Fall FD - groups'!$A$3:$F$20,4,FALSE),"")</f>
        <v/>
      </c>
      <c r="AF188" s="13" t="str">
        <f>IFERROR(MIN(_xlfn.IFNA(VLOOKUP(Table2[[#This Row],[tee time5]],'Fall FD - groups'!$A$3:$F$20,5,FALSE),""),starting_interval + Table2[[#This Row],[round5]] - standard_round_time),"")</f>
        <v/>
      </c>
      <c r="AG188" s="69" t="str">
        <f>IF(AND(Table2[[#This Row],[gap5]]="NA",Table2[[#This Row],[round5]]&lt;4/24),0,IFERROR((MAX(starting_interval,IF(Table2[[#This Row],[gap5]]="NA",Table2[[#This Row],[avg gap]],Table2[[#This Row],[gap5]]))-starting_interval)*Table2[[#This Row],[followers5]]/Table2[[#This Row],[group size5]],""))</f>
        <v/>
      </c>
      <c r="AH188" s="32" t="str">
        <f>_xlfn.IFNA(VLOOKUP(Table2[[#This Row],[Name]],'Stableford - players'!$A$2:$B$65,2,FALSE),"")</f>
        <v/>
      </c>
      <c r="AI188" s="59" t="str">
        <f>IF(Table2[[#This Row],[tee time6]]&lt;&gt;"",COUNTIF('Stableford - players'!$B$2:$B$65,"="&amp;Table2[[#This Row],[tee time6]]),"")</f>
        <v/>
      </c>
      <c r="AJ188" s="59" t="str">
        <f>_xlfn.IFNA(VLOOKUP(Table2[[#This Row],[tee time6]],'Stableford - groups'!$A$3:$F$20,6,FALSE),"")</f>
        <v/>
      </c>
      <c r="AK188" s="11" t="str">
        <f>_xlfn.IFNA(VLOOKUP(Table2[[#This Row],[tee time6]],'Stableford - groups'!$A$3:$F$20,4,FALSE),"")</f>
        <v/>
      </c>
      <c r="AL188" s="13" t="str">
        <f>_xlfn.IFNA(VLOOKUP(Table2[[#This Row],[tee time6]],'Stableford - groups'!$A$3:$F$20,5,FALSE),"")</f>
        <v/>
      </c>
      <c r="AM188" s="68" t="str">
        <f>IF(AND(Table2[[#This Row],[gap6]]="NA",Table2[[#This Row],[round6]]&lt;4/24),0,IFERROR((MAX(starting_interval,IF(Table2[[#This Row],[gap6]]="NA",Table2[[#This Row],[avg gap]],Table2[[#This Row],[gap6]]))-starting_interval)*Table2[[#This Row],[followers6]]/Table2[[#This Row],[group size6]],""))</f>
        <v/>
      </c>
      <c r="AN188" s="32" t="str">
        <f>_xlfn.IFNA(VLOOKUP(Table2[[#This Row],[Name]],'Turkey Shoot - players'!$A$2:$B$65,2,FALSE),"")</f>
        <v/>
      </c>
      <c r="AO188" s="59" t="str">
        <f>IF(Table2[[#This Row],[tee time7]]&lt;&gt;"",COUNTIF('Turkey Shoot - players'!$B$2:$B$65,"="&amp;Table2[[#This Row],[tee time7]]),"")</f>
        <v/>
      </c>
      <c r="AP188" s="59" t="str">
        <f>_xlfn.IFNA(VLOOKUP(Table2[[#This Row],[tee time7]],'Stableford - groups'!$A$3:$F$20,6,FALSE),"")</f>
        <v/>
      </c>
      <c r="AQ188" s="11" t="str">
        <f>_xlfn.IFNA(VLOOKUP(Table2[[#This Row],[tee time7]],'Turkey Shoot - groups'!$A$3:$F$20,4,FALSE),"")</f>
        <v/>
      </c>
      <c r="AR188" s="13" t="str">
        <f>_xlfn.IFNA(VLOOKUP(Table2[[#This Row],[tee time7]],'Turkey Shoot - groups'!$A$3:$F$20,5,FALSE),"")</f>
        <v/>
      </c>
      <c r="AS188" s="68" t="str">
        <f>IF(AND(Table2[[#This Row],[gap7]]="NA",Table2[[#This Row],[round7]]&lt;4/24),0,IFERROR((MAX(starting_interval,IF(Table2[[#This Row],[gap7]]="NA",Table2[[#This Row],[avg gap]],Table2[[#This Row],[gap7]]))-starting_interval)*Table2[[#This Row],[followers7]]/Table2[[#This Row],[group size7]],""))</f>
        <v/>
      </c>
      <c r="AT188" s="72">
        <f>COUNT(Table2[[#This Row],[Tee time1]],Table2[[#This Row],[tee time2]],Table2[[#This Row],[tee time3]],Table2[[#This Row],[tee time4]],Table2[[#This Row],[tee time5]],Table2[[#This Row],[tee time6]],Table2[[#This Row],[tee time7]])</f>
        <v>0</v>
      </c>
      <c r="AU188" s="4" t="str">
        <f>IFERROR(AVERAGE(Table2[[#This Row],[Tee time1]],Table2[[#This Row],[tee time2]],Table2[[#This Row],[tee time3]],Table2[[#This Row],[tee time4]],Table2[[#This Row],[tee time5]],Table2[[#This Row],[tee time6]],Table2[[#This Row],[tee time7]]),"")</f>
        <v/>
      </c>
      <c r="AV188" s="11" t="str">
        <f>IFERROR(MEDIAN(Table2[[#This Row],[round1]],Table2[[#This Row],[Round2]],Table2[[#This Row],[round3]],Table2[[#This Row],[round4]],Table2[[#This Row],[round5]],Table2[[#This Row],[round6]],Table2[[#This Row],[round7]]),"")</f>
        <v/>
      </c>
      <c r="AW188" s="11" t="str">
        <f>IFERROR(AVERAGE(Table2[[#This Row],[gap1]],Table2[[#This Row],[gap2]],Table2[[#This Row],[gap3]],Table2[[#This Row],[gap4]],Table2[[#This Row],[gap5]],Table2[[#This Row],[gap6]],Table2[[#This Row],[gap7]]),"")</f>
        <v/>
      </c>
      <c r="AX188" s="9" t="str">
        <f>IFERROR((Table2[[#This Row],[avg gap]]-starting_interval)*24*60*Table2[[#This Row],[Count]],"NA")</f>
        <v>NA</v>
      </c>
      <c r="AY188"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88" s="2"/>
    </row>
    <row r="189" spans="1:52" hidden="1" x14ac:dyDescent="0.3">
      <c r="A189" s="10" t="s">
        <v>122</v>
      </c>
      <c r="B189" s="1" t="s">
        <v>362</v>
      </c>
      <c r="C189" s="19">
        <v>19.5</v>
      </c>
      <c r="D189" s="32" t="str">
        <f>_xlfn.IFNA(VLOOKUP(Table2[[#This Row],[Name]],'Classic day 1 - players'!$A$2:$B$64,2,FALSE),"")</f>
        <v/>
      </c>
      <c r="E189" s="33" t="str">
        <f>IF(Table2[[#This Row],[Tee time1]]&lt;&gt;"",COUNTIF('Classic day 1 - players'!$B$2:$B$64,"="&amp;Table2[[#This Row],[Tee time1]]),"")</f>
        <v/>
      </c>
      <c r="F189" s="4" t="str">
        <f>_xlfn.IFNA(VLOOKUP(Table2[[#This Row],[Tee time1]],'Classic day 1 - groups'!$A$3:$F$20,6,FALSE),"")</f>
        <v/>
      </c>
      <c r="G189" s="11" t="str">
        <f>_xlfn.IFNA(VLOOKUP(Table2[[#This Row],[Tee time1]],'Classic day 1 - groups'!$A$3:$F$20,4,FALSE),"")</f>
        <v/>
      </c>
      <c r="H189" s="12" t="str">
        <f>_xlfn.IFNA(VLOOKUP(Table2[[#This Row],[Tee time1]],'Classic day 1 - groups'!$A$3:$F$20,5,FALSE),"")</f>
        <v/>
      </c>
      <c r="I189" s="69" t="str">
        <f>IFERROR((MAX(starting_interval,IF(Table2[[#This Row],[gap1]]="NA",Table2[[#This Row],[avg gap]],Table2[[#This Row],[gap1]]))-starting_interval)*Table2[[#This Row],[followers1]]/Table2[[#This Row],[group size]],"")</f>
        <v/>
      </c>
      <c r="J189" s="32" t="str">
        <f>_xlfn.IFNA(VLOOKUP(Table2[[#This Row],[Name]],'Classic day 2 - players'!$A$2:$B$64,2,FALSE),"")</f>
        <v/>
      </c>
      <c r="K189" s="4" t="str">
        <f>IF(Table2[[#This Row],[tee time2]]&lt;&gt;"",COUNTIF('Classic day 2 - players'!$B$2:$B$64,"="&amp;Table2[[#This Row],[tee time2]]),"")</f>
        <v/>
      </c>
      <c r="L189" s="4" t="str">
        <f>_xlfn.IFNA(VLOOKUP(Table2[[#This Row],[tee time2]],'Classic day 2 - groups'!$A$3:$F$20,6,FALSE),"")</f>
        <v/>
      </c>
      <c r="M189" s="4" t="str">
        <f>_xlfn.IFNA(VLOOKUP(Table2[[#This Row],[tee time2]],'Classic day 2 - groups'!$A$3:$F$20,4,FALSE),"")</f>
        <v/>
      </c>
      <c r="N189" s="65" t="str">
        <f>_xlfn.IFNA(VLOOKUP(Table2[[#This Row],[tee time2]],'Classic day 2 - groups'!$A$3:$F$20,5,FALSE),"")</f>
        <v/>
      </c>
      <c r="O189" s="69" t="str">
        <f>IFERROR((MAX(starting_interval,IF(Table2[[#This Row],[gap2]]="NA",Table2[[#This Row],[avg gap]],Table2[[#This Row],[gap2]]))-starting_interval)*Table2[[#This Row],[followers2]]/Table2[[#This Row],[group size2]],"")</f>
        <v/>
      </c>
      <c r="P189" s="32" t="str">
        <f>_xlfn.IFNA(VLOOKUP(Table2[[#This Row],[Name]],'Summer FD - players'!$A$2:$B$65,2,FALSE),"")</f>
        <v/>
      </c>
      <c r="Q189" s="59" t="str">
        <f>IF(Table2[[#This Row],[tee time3]]&lt;&gt;"",COUNTIF('Summer FD - players'!$B$2:$B$65,"="&amp;Table2[[#This Row],[tee time3]]),"")</f>
        <v/>
      </c>
      <c r="R189" s="59" t="str">
        <f>_xlfn.IFNA(VLOOKUP(Table2[[#This Row],[tee time3]],'Summer FD - groups'!$A$3:$F$20,6,FALSE),"")</f>
        <v/>
      </c>
      <c r="S189" s="4" t="str">
        <f>_xlfn.IFNA(VLOOKUP(Table2[[#This Row],[tee time3]],'Summer FD - groups'!$A$3:$F$20,4,FALSE),"")</f>
        <v/>
      </c>
      <c r="T189" s="13" t="str">
        <f>_xlfn.IFNA(VLOOKUP(Table2[[#This Row],[tee time3]],'Summer FD - groups'!$A$3:$F$20,5,FALSE),"")</f>
        <v/>
      </c>
      <c r="U189" s="69" t="str">
        <f>IF(Table2[[#This Row],[avg gap]]&lt;&gt;"",IFERROR((MAX(starting_interval,IF(Table2[[#This Row],[gap3]]="NA",Table2[[#This Row],[avg gap]],Table2[[#This Row],[gap3]]))-starting_interval)*Table2[[#This Row],[followers3]]/Table2[[#This Row],[group size3]],""),"")</f>
        <v/>
      </c>
      <c r="V189" s="32" t="str">
        <f>_xlfn.IFNA(VLOOKUP(Table2[[#This Row],[Name]],'6-6-6 - players'!$A$2:$B$69,2,FALSE),"")</f>
        <v/>
      </c>
      <c r="W189" s="59" t="str">
        <f>IF(Table2[[#This Row],[tee time4]]&lt;&gt;"",COUNTIF('6-6-6 - players'!$B$2:$B$69,"="&amp;Table2[[#This Row],[tee time4]]),"")</f>
        <v/>
      </c>
      <c r="X189" s="59" t="str">
        <f>_xlfn.IFNA(VLOOKUP(Table2[[#This Row],[tee time4]],'6-6-6 - groups'!$A$3:$F$20,6,FALSE),"")</f>
        <v/>
      </c>
      <c r="Y189" s="4" t="str">
        <f>_xlfn.IFNA(VLOOKUP(Table2[[#This Row],[tee time4]],'6-6-6 - groups'!$A$3:$F$20,4,FALSE),"")</f>
        <v/>
      </c>
      <c r="Z189" s="13" t="str">
        <f>_xlfn.IFNA(VLOOKUP(Table2[[#This Row],[tee time4]],'6-6-6 - groups'!$A$3:$F$20,5,FALSE),"")</f>
        <v/>
      </c>
      <c r="AA189" s="69" t="str">
        <f>IF(Table2[[#This Row],[avg gap]]&lt;&gt;"",IFERROR((MAX(starting_interval,IF(Table2[[#This Row],[gap4]]="NA",Table2[[#This Row],[avg gap]],Table2[[#This Row],[gap4]]))-starting_interval)*Table2[[#This Row],[followers4]]/Table2[[#This Row],[group size4]],""),"")</f>
        <v/>
      </c>
      <c r="AB189" s="32" t="str">
        <f>_xlfn.IFNA(VLOOKUP(Table2[[#This Row],[Name]],'Fall FD - players'!$A$2:$B$65,2,FALSE),"")</f>
        <v/>
      </c>
      <c r="AC189" s="59" t="str">
        <f>IF(Table2[[#This Row],[tee time5]]&lt;&gt;"",COUNTIF('Fall FD - players'!$B$2:$B$65,"="&amp;Table2[[#This Row],[tee time5]]),"")</f>
        <v/>
      </c>
      <c r="AD189" s="59" t="str">
        <f>_xlfn.IFNA(VLOOKUP(Table2[[#This Row],[tee time5]],'Fall FD - groups'!$A$3:$F$20,6,FALSE),"")</f>
        <v/>
      </c>
      <c r="AE189" s="4" t="str">
        <f>_xlfn.IFNA(VLOOKUP(Table2[[#This Row],[tee time5]],'Fall FD - groups'!$A$3:$F$20,4,FALSE),"")</f>
        <v/>
      </c>
      <c r="AF189" s="13" t="str">
        <f>IFERROR(MIN(_xlfn.IFNA(VLOOKUP(Table2[[#This Row],[tee time5]],'Fall FD - groups'!$A$3:$F$20,5,FALSE),""),starting_interval + Table2[[#This Row],[round5]] - standard_round_time),"")</f>
        <v/>
      </c>
      <c r="AG189" s="69" t="str">
        <f>IF(AND(Table2[[#This Row],[gap5]]="NA",Table2[[#This Row],[round5]]&lt;4/24),0,IFERROR((MAX(starting_interval,IF(Table2[[#This Row],[gap5]]="NA",Table2[[#This Row],[avg gap]],Table2[[#This Row],[gap5]]))-starting_interval)*Table2[[#This Row],[followers5]]/Table2[[#This Row],[group size5]],""))</f>
        <v/>
      </c>
      <c r="AH189" s="32" t="str">
        <f>_xlfn.IFNA(VLOOKUP(Table2[[#This Row],[Name]],'Stableford - players'!$A$2:$B$65,2,FALSE),"")</f>
        <v/>
      </c>
      <c r="AI189" s="59" t="str">
        <f>IF(Table2[[#This Row],[tee time6]]&lt;&gt;"",COUNTIF('Stableford - players'!$B$2:$B$65,"="&amp;Table2[[#This Row],[tee time6]]),"")</f>
        <v/>
      </c>
      <c r="AJ189" s="59" t="str">
        <f>_xlfn.IFNA(VLOOKUP(Table2[[#This Row],[tee time6]],'Stableford - groups'!$A$3:$F$20,6,FALSE),"")</f>
        <v/>
      </c>
      <c r="AK189" s="11" t="str">
        <f>_xlfn.IFNA(VLOOKUP(Table2[[#This Row],[tee time6]],'Stableford - groups'!$A$3:$F$20,4,FALSE),"")</f>
        <v/>
      </c>
      <c r="AL189" s="13" t="str">
        <f>_xlfn.IFNA(VLOOKUP(Table2[[#This Row],[tee time6]],'Stableford - groups'!$A$3:$F$20,5,FALSE),"")</f>
        <v/>
      </c>
      <c r="AM189" s="68" t="str">
        <f>IF(AND(Table2[[#This Row],[gap6]]="NA",Table2[[#This Row],[round6]]&lt;4/24),0,IFERROR((MAX(starting_interval,IF(Table2[[#This Row],[gap6]]="NA",Table2[[#This Row],[avg gap]],Table2[[#This Row],[gap6]]))-starting_interval)*Table2[[#This Row],[followers6]]/Table2[[#This Row],[group size6]],""))</f>
        <v/>
      </c>
      <c r="AN189" s="32" t="str">
        <f>_xlfn.IFNA(VLOOKUP(Table2[[#This Row],[Name]],'Turkey Shoot - players'!$A$2:$B$65,2,FALSE),"")</f>
        <v/>
      </c>
      <c r="AO189" s="59" t="str">
        <f>IF(Table2[[#This Row],[tee time7]]&lt;&gt;"",COUNTIF('Turkey Shoot - players'!$B$2:$B$65,"="&amp;Table2[[#This Row],[tee time7]]),"")</f>
        <v/>
      </c>
      <c r="AP189" s="59" t="str">
        <f>_xlfn.IFNA(VLOOKUP(Table2[[#This Row],[tee time7]],'Stableford - groups'!$A$3:$F$20,6,FALSE),"")</f>
        <v/>
      </c>
      <c r="AQ189" s="11" t="str">
        <f>_xlfn.IFNA(VLOOKUP(Table2[[#This Row],[tee time7]],'Turkey Shoot - groups'!$A$3:$F$20,4,FALSE),"")</f>
        <v/>
      </c>
      <c r="AR189" s="13" t="str">
        <f>_xlfn.IFNA(VLOOKUP(Table2[[#This Row],[tee time7]],'Turkey Shoot - groups'!$A$3:$F$20,5,FALSE),"")</f>
        <v/>
      </c>
      <c r="AS189" s="68" t="str">
        <f>IF(AND(Table2[[#This Row],[gap7]]="NA",Table2[[#This Row],[round7]]&lt;4/24),0,IFERROR((MAX(starting_interval,IF(Table2[[#This Row],[gap7]]="NA",Table2[[#This Row],[avg gap]],Table2[[#This Row],[gap7]]))-starting_interval)*Table2[[#This Row],[followers7]]/Table2[[#This Row],[group size7]],""))</f>
        <v/>
      </c>
      <c r="AT189" s="72">
        <f>COUNT(Table2[[#This Row],[Tee time1]],Table2[[#This Row],[tee time2]],Table2[[#This Row],[tee time3]],Table2[[#This Row],[tee time4]],Table2[[#This Row],[tee time5]],Table2[[#This Row],[tee time6]],Table2[[#This Row],[tee time7]])</f>
        <v>0</v>
      </c>
      <c r="AU189" s="4" t="str">
        <f>IFERROR(AVERAGE(Table2[[#This Row],[Tee time1]],Table2[[#This Row],[tee time2]],Table2[[#This Row],[tee time3]],Table2[[#This Row],[tee time4]],Table2[[#This Row],[tee time5]],Table2[[#This Row],[tee time6]],Table2[[#This Row],[tee time7]]),"")</f>
        <v/>
      </c>
      <c r="AV189" s="11" t="str">
        <f>IFERROR(MEDIAN(Table2[[#This Row],[round1]],Table2[[#This Row],[Round2]],Table2[[#This Row],[round3]],Table2[[#This Row],[round4]],Table2[[#This Row],[round5]],Table2[[#This Row],[round6]],Table2[[#This Row],[round7]]),"")</f>
        <v/>
      </c>
      <c r="AW189" s="11" t="str">
        <f>IFERROR(AVERAGE(Table2[[#This Row],[gap1]],Table2[[#This Row],[gap2]],Table2[[#This Row],[gap3]],Table2[[#This Row],[gap4]],Table2[[#This Row],[gap5]],Table2[[#This Row],[gap6]],Table2[[#This Row],[gap7]]),"")</f>
        <v/>
      </c>
      <c r="AX189" s="9" t="str">
        <f>IFERROR((Table2[[#This Row],[avg gap]]-starting_interval)*24*60*Table2[[#This Row],[Count]],"NA")</f>
        <v>NA</v>
      </c>
      <c r="AY189"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89" s="2"/>
    </row>
    <row r="190" spans="1:52" hidden="1" x14ac:dyDescent="0.3">
      <c r="A190" s="10" t="s">
        <v>123</v>
      </c>
      <c r="B190" s="1" t="s">
        <v>363</v>
      </c>
      <c r="C190" s="19">
        <v>13.4</v>
      </c>
      <c r="D190" s="32" t="str">
        <f>_xlfn.IFNA(VLOOKUP(Table2[[#This Row],[Name]],'Classic day 1 - players'!$A$2:$B$64,2,FALSE),"")</f>
        <v/>
      </c>
      <c r="E190" s="33" t="str">
        <f>IF(Table2[[#This Row],[Tee time1]]&lt;&gt;"",COUNTIF('Classic day 1 - players'!$B$2:$B$64,"="&amp;Table2[[#This Row],[Tee time1]]),"")</f>
        <v/>
      </c>
      <c r="F190" s="4" t="str">
        <f>_xlfn.IFNA(VLOOKUP(Table2[[#This Row],[Tee time1]],'Classic day 1 - groups'!$A$3:$F$20,6,FALSE),"")</f>
        <v/>
      </c>
      <c r="G190" s="11" t="str">
        <f>_xlfn.IFNA(VLOOKUP(Table2[[#This Row],[Tee time1]],'Classic day 1 - groups'!$A$3:$F$20,4,FALSE),"")</f>
        <v/>
      </c>
      <c r="H190" s="12" t="str">
        <f>_xlfn.IFNA(VLOOKUP(Table2[[#This Row],[Tee time1]],'Classic day 1 - groups'!$A$3:$F$20,5,FALSE),"")</f>
        <v/>
      </c>
      <c r="I190" s="69" t="str">
        <f>IFERROR((MAX(starting_interval,IF(Table2[[#This Row],[gap1]]="NA",Table2[[#This Row],[avg gap]],Table2[[#This Row],[gap1]]))-starting_interval)*Table2[[#This Row],[followers1]]/Table2[[#This Row],[group size]],"")</f>
        <v/>
      </c>
      <c r="J190" s="32" t="str">
        <f>_xlfn.IFNA(VLOOKUP(Table2[[#This Row],[Name]],'Classic day 2 - players'!$A$2:$B$64,2,FALSE),"")</f>
        <v/>
      </c>
      <c r="K190" s="4" t="str">
        <f>IF(Table2[[#This Row],[tee time2]]&lt;&gt;"",COUNTIF('Classic day 2 - players'!$B$2:$B$64,"="&amp;Table2[[#This Row],[tee time2]]),"")</f>
        <v/>
      </c>
      <c r="L190" s="4" t="str">
        <f>_xlfn.IFNA(VLOOKUP(Table2[[#This Row],[tee time2]],'Classic day 2 - groups'!$A$3:$F$20,6,FALSE),"")</f>
        <v/>
      </c>
      <c r="M190" s="4" t="str">
        <f>_xlfn.IFNA(VLOOKUP(Table2[[#This Row],[tee time2]],'Classic day 2 - groups'!$A$3:$F$20,4,FALSE),"")</f>
        <v/>
      </c>
      <c r="N190" s="65" t="str">
        <f>_xlfn.IFNA(VLOOKUP(Table2[[#This Row],[tee time2]],'Classic day 2 - groups'!$A$3:$F$20,5,FALSE),"")</f>
        <v/>
      </c>
      <c r="O190" s="69" t="str">
        <f>IFERROR((MAX(starting_interval,IF(Table2[[#This Row],[gap2]]="NA",Table2[[#This Row],[avg gap]],Table2[[#This Row],[gap2]]))-starting_interval)*Table2[[#This Row],[followers2]]/Table2[[#This Row],[group size2]],"")</f>
        <v/>
      </c>
      <c r="P190" s="32" t="str">
        <f>_xlfn.IFNA(VLOOKUP(Table2[[#This Row],[Name]],'Summer FD - players'!$A$2:$B$65,2,FALSE),"")</f>
        <v/>
      </c>
      <c r="Q190" s="59" t="str">
        <f>IF(Table2[[#This Row],[tee time3]]&lt;&gt;"",COUNTIF('Summer FD - players'!$B$2:$B$65,"="&amp;Table2[[#This Row],[tee time3]]),"")</f>
        <v/>
      </c>
      <c r="R190" s="59" t="str">
        <f>_xlfn.IFNA(VLOOKUP(Table2[[#This Row],[tee time3]],'Summer FD - groups'!$A$3:$F$20,6,FALSE),"")</f>
        <v/>
      </c>
      <c r="S190" s="4" t="str">
        <f>_xlfn.IFNA(VLOOKUP(Table2[[#This Row],[tee time3]],'Summer FD - groups'!$A$3:$F$20,4,FALSE),"")</f>
        <v/>
      </c>
      <c r="T190" s="13" t="str">
        <f>_xlfn.IFNA(VLOOKUP(Table2[[#This Row],[tee time3]],'Summer FD - groups'!$A$3:$F$20,5,FALSE),"")</f>
        <v/>
      </c>
      <c r="U190" s="69" t="str">
        <f>IF(Table2[[#This Row],[avg gap]]&lt;&gt;"",IFERROR((MAX(starting_interval,IF(Table2[[#This Row],[gap3]]="NA",Table2[[#This Row],[avg gap]],Table2[[#This Row],[gap3]]))-starting_interval)*Table2[[#This Row],[followers3]]/Table2[[#This Row],[group size3]],""),"")</f>
        <v/>
      </c>
      <c r="V190" s="32" t="str">
        <f>_xlfn.IFNA(VLOOKUP(Table2[[#This Row],[Name]],'6-6-6 - players'!$A$2:$B$69,2,FALSE),"")</f>
        <v/>
      </c>
      <c r="W190" s="59" t="str">
        <f>IF(Table2[[#This Row],[tee time4]]&lt;&gt;"",COUNTIF('6-6-6 - players'!$B$2:$B$69,"="&amp;Table2[[#This Row],[tee time4]]),"")</f>
        <v/>
      </c>
      <c r="X190" s="59" t="str">
        <f>_xlfn.IFNA(VLOOKUP(Table2[[#This Row],[tee time4]],'6-6-6 - groups'!$A$3:$F$20,6,FALSE),"")</f>
        <v/>
      </c>
      <c r="Y190" s="4" t="str">
        <f>_xlfn.IFNA(VLOOKUP(Table2[[#This Row],[tee time4]],'6-6-6 - groups'!$A$3:$F$20,4,FALSE),"")</f>
        <v/>
      </c>
      <c r="Z190" s="13" t="str">
        <f>_xlfn.IFNA(VLOOKUP(Table2[[#This Row],[tee time4]],'6-6-6 - groups'!$A$3:$F$20,5,FALSE),"")</f>
        <v/>
      </c>
      <c r="AA190" s="69" t="str">
        <f>IF(Table2[[#This Row],[avg gap]]&lt;&gt;"",IFERROR((MAX(starting_interval,IF(Table2[[#This Row],[gap4]]="NA",Table2[[#This Row],[avg gap]],Table2[[#This Row],[gap4]]))-starting_interval)*Table2[[#This Row],[followers4]]/Table2[[#This Row],[group size4]],""),"")</f>
        <v/>
      </c>
      <c r="AB190" s="32" t="str">
        <f>_xlfn.IFNA(VLOOKUP(Table2[[#This Row],[Name]],'Fall FD - players'!$A$2:$B$65,2,FALSE),"")</f>
        <v/>
      </c>
      <c r="AC190" s="59" t="str">
        <f>IF(Table2[[#This Row],[tee time5]]&lt;&gt;"",COUNTIF('Fall FD - players'!$B$2:$B$65,"="&amp;Table2[[#This Row],[tee time5]]),"")</f>
        <v/>
      </c>
      <c r="AD190" s="59" t="str">
        <f>_xlfn.IFNA(VLOOKUP(Table2[[#This Row],[tee time5]],'Fall FD - groups'!$A$3:$F$20,6,FALSE),"")</f>
        <v/>
      </c>
      <c r="AE190" s="4" t="str">
        <f>_xlfn.IFNA(VLOOKUP(Table2[[#This Row],[tee time5]],'Fall FD - groups'!$A$3:$F$20,4,FALSE),"")</f>
        <v/>
      </c>
      <c r="AF190" s="13" t="str">
        <f>IFERROR(MIN(_xlfn.IFNA(VLOOKUP(Table2[[#This Row],[tee time5]],'Fall FD - groups'!$A$3:$F$20,5,FALSE),""),starting_interval + Table2[[#This Row],[round5]] - standard_round_time),"")</f>
        <v/>
      </c>
      <c r="AG190" s="69" t="str">
        <f>IF(AND(Table2[[#This Row],[gap5]]="NA",Table2[[#This Row],[round5]]&lt;4/24),0,IFERROR((MAX(starting_interval,IF(Table2[[#This Row],[gap5]]="NA",Table2[[#This Row],[avg gap]],Table2[[#This Row],[gap5]]))-starting_interval)*Table2[[#This Row],[followers5]]/Table2[[#This Row],[group size5]],""))</f>
        <v/>
      </c>
      <c r="AH190" s="32" t="str">
        <f>_xlfn.IFNA(VLOOKUP(Table2[[#This Row],[Name]],'Stableford - players'!$A$2:$B$65,2,FALSE),"")</f>
        <v/>
      </c>
      <c r="AI190" s="59" t="str">
        <f>IF(Table2[[#This Row],[tee time6]]&lt;&gt;"",COUNTIF('Stableford - players'!$B$2:$B$65,"="&amp;Table2[[#This Row],[tee time6]]),"")</f>
        <v/>
      </c>
      <c r="AJ190" s="59" t="str">
        <f>_xlfn.IFNA(VLOOKUP(Table2[[#This Row],[tee time6]],'Stableford - groups'!$A$3:$F$20,6,FALSE),"")</f>
        <v/>
      </c>
      <c r="AK190" s="11" t="str">
        <f>_xlfn.IFNA(VLOOKUP(Table2[[#This Row],[tee time6]],'Stableford - groups'!$A$3:$F$20,4,FALSE),"")</f>
        <v/>
      </c>
      <c r="AL190" s="13" t="str">
        <f>_xlfn.IFNA(VLOOKUP(Table2[[#This Row],[tee time6]],'Stableford - groups'!$A$3:$F$20,5,FALSE),"")</f>
        <v/>
      </c>
      <c r="AM190" s="68" t="str">
        <f>IF(AND(Table2[[#This Row],[gap6]]="NA",Table2[[#This Row],[round6]]&lt;4/24),0,IFERROR((MAX(starting_interval,IF(Table2[[#This Row],[gap6]]="NA",Table2[[#This Row],[avg gap]],Table2[[#This Row],[gap6]]))-starting_interval)*Table2[[#This Row],[followers6]]/Table2[[#This Row],[group size6]],""))</f>
        <v/>
      </c>
      <c r="AN190" s="32" t="str">
        <f>_xlfn.IFNA(VLOOKUP(Table2[[#This Row],[Name]],'Turkey Shoot - players'!$A$2:$B$65,2,FALSE),"")</f>
        <v/>
      </c>
      <c r="AO190" s="59" t="str">
        <f>IF(Table2[[#This Row],[tee time7]]&lt;&gt;"",COUNTIF('Turkey Shoot - players'!$B$2:$B$65,"="&amp;Table2[[#This Row],[tee time7]]),"")</f>
        <v/>
      </c>
      <c r="AP190" s="59" t="str">
        <f>_xlfn.IFNA(VLOOKUP(Table2[[#This Row],[tee time7]],'Stableford - groups'!$A$3:$F$20,6,FALSE),"")</f>
        <v/>
      </c>
      <c r="AQ190" s="11" t="str">
        <f>_xlfn.IFNA(VLOOKUP(Table2[[#This Row],[tee time7]],'Turkey Shoot - groups'!$A$3:$F$20,4,FALSE),"")</f>
        <v/>
      </c>
      <c r="AR190" s="13" t="str">
        <f>_xlfn.IFNA(VLOOKUP(Table2[[#This Row],[tee time7]],'Turkey Shoot - groups'!$A$3:$F$20,5,FALSE),"")</f>
        <v/>
      </c>
      <c r="AS190" s="68" t="str">
        <f>IF(AND(Table2[[#This Row],[gap7]]="NA",Table2[[#This Row],[round7]]&lt;4/24),0,IFERROR((MAX(starting_interval,IF(Table2[[#This Row],[gap7]]="NA",Table2[[#This Row],[avg gap]],Table2[[#This Row],[gap7]]))-starting_interval)*Table2[[#This Row],[followers7]]/Table2[[#This Row],[group size7]],""))</f>
        <v/>
      </c>
      <c r="AT190" s="72">
        <f>COUNT(Table2[[#This Row],[Tee time1]],Table2[[#This Row],[tee time2]],Table2[[#This Row],[tee time3]],Table2[[#This Row],[tee time4]],Table2[[#This Row],[tee time5]],Table2[[#This Row],[tee time6]],Table2[[#This Row],[tee time7]])</f>
        <v>0</v>
      </c>
      <c r="AU190" s="4" t="str">
        <f>IFERROR(AVERAGE(Table2[[#This Row],[Tee time1]],Table2[[#This Row],[tee time2]],Table2[[#This Row],[tee time3]],Table2[[#This Row],[tee time4]],Table2[[#This Row],[tee time5]],Table2[[#This Row],[tee time6]],Table2[[#This Row],[tee time7]]),"")</f>
        <v/>
      </c>
      <c r="AV190" s="11" t="str">
        <f>IFERROR(MEDIAN(Table2[[#This Row],[round1]],Table2[[#This Row],[Round2]],Table2[[#This Row],[round3]],Table2[[#This Row],[round4]],Table2[[#This Row],[round5]],Table2[[#This Row],[round6]],Table2[[#This Row],[round7]]),"")</f>
        <v/>
      </c>
      <c r="AW190" s="11" t="str">
        <f>IFERROR(AVERAGE(Table2[[#This Row],[gap1]],Table2[[#This Row],[gap2]],Table2[[#This Row],[gap3]],Table2[[#This Row],[gap4]],Table2[[#This Row],[gap5]],Table2[[#This Row],[gap6]],Table2[[#This Row],[gap7]]),"")</f>
        <v/>
      </c>
      <c r="AX190" s="9" t="str">
        <f>IFERROR((Table2[[#This Row],[avg gap]]-starting_interval)*24*60*Table2[[#This Row],[Count]],"NA")</f>
        <v>NA</v>
      </c>
      <c r="AY190"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90" s="2"/>
    </row>
    <row r="191" spans="1:52" hidden="1" x14ac:dyDescent="0.3">
      <c r="A191" s="10" t="s">
        <v>124</v>
      </c>
      <c r="B191" s="1" t="s">
        <v>364</v>
      </c>
      <c r="C191" s="19">
        <v>10.6</v>
      </c>
      <c r="D191" s="32" t="str">
        <f>_xlfn.IFNA(VLOOKUP(Table2[[#This Row],[Name]],'Classic day 1 - players'!$A$2:$B$64,2,FALSE),"")</f>
        <v/>
      </c>
      <c r="E191" s="33" t="str">
        <f>IF(Table2[[#This Row],[Tee time1]]&lt;&gt;"",COUNTIF('Classic day 1 - players'!$B$2:$B$64,"="&amp;Table2[[#This Row],[Tee time1]]),"")</f>
        <v/>
      </c>
      <c r="F191" s="4" t="str">
        <f>_xlfn.IFNA(VLOOKUP(Table2[[#This Row],[Tee time1]],'Classic day 1 - groups'!$A$3:$F$20,6,FALSE),"")</f>
        <v/>
      </c>
      <c r="G191" s="11" t="str">
        <f>_xlfn.IFNA(VLOOKUP(Table2[[#This Row],[Tee time1]],'Classic day 1 - groups'!$A$3:$F$20,4,FALSE),"")</f>
        <v/>
      </c>
      <c r="H191" s="12" t="str">
        <f>_xlfn.IFNA(VLOOKUP(Table2[[#This Row],[Tee time1]],'Classic day 1 - groups'!$A$3:$F$20,5,FALSE),"")</f>
        <v/>
      </c>
      <c r="I191" s="69" t="str">
        <f>IFERROR((MAX(starting_interval,IF(Table2[[#This Row],[gap1]]="NA",Table2[[#This Row],[avg gap]],Table2[[#This Row],[gap1]]))-starting_interval)*Table2[[#This Row],[followers1]]/Table2[[#This Row],[group size]],"")</f>
        <v/>
      </c>
      <c r="J191" s="32" t="str">
        <f>_xlfn.IFNA(VLOOKUP(Table2[[#This Row],[Name]],'Classic day 2 - players'!$A$2:$B$64,2,FALSE),"")</f>
        <v/>
      </c>
      <c r="K191" s="4" t="str">
        <f>IF(Table2[[#This Row],[tee time2]]&lt;&gt;"",COUNTIF('Classic day 2 - players'!$B$2:$B$64,"="&amp;Table2[[#This Row],[tee time2]]),"")</f>
        <v/>
      </c>
      <c r="L191" s="4" t="str">
        <f>_xlfn.IFNA(VLOOKUP(Table2[[#This Row],[tee time2]],'Classic day 2 - groups'!$A$3:$F$20,6,FALSE),"")</f>
        <v/>
      </c>
      <c r="M191" s="4" t="str">
        <f>_xlfn.IFNA(VLOOKUP(Table2[[#This Row],[tee time2]],'Classic day 2 - groups'!$A$3:$F$20,4,FALSE),"")</f>
        <v/>
      </c>
      <c r="N191" s="65" t="str">
        <f>_xlfn.IFNA(VLOOKUP(Table2[[#This Row],[tee time2]],'Classic day 2 - groups'!$A$3:$F$20,5,FALSE),"")</f>
        <v/>
      </c>
      <c r="O191" s="69" t="str">
        <f>IFERROR((MAX(starting_interval,IF(Table2[[#This Row],[gap2]]="NA",Table2[[#This Row],[avg gap]],Table2[[#This Row],[gap2]]))-starting_interval)*Table2[[#This Row],[followers2]]/Table2[[#This Row],[group size2]],"")</f>
        <v/>
      </c>
      <c r="P191" s="32" t="str">
        <f>_xlfn.IFNA(VLOOKUP(Table2[[#This Row],[Name]],'Summer FD - players'!$A$2:$B$65,2,FALSE),"")</f>
        <v/>
      </c>
      <c r="Q191" s="59" t="str">
        <f>IF(Table2[[#This Row],[tee time3]]&lt;&gt;"",COUNTIF('Summer FD - players'!$B$2:$B$65,"="&amp;Table2[[#This Row],[tee time3]]),"")</f>
        <v/>
      </c>
      <c r="R191" s="59" t="str">
        <f>_xlfn.IFNA(VLOOKUP(Table2[[#This Row],[tee time3]],'Summer FD - groups'!$A$3:$F$20,6,FALSE),"")</f>
        <v/>
      </c>
      <c r="S191" s="4" t="str">
        <f>_xlfn.IFNA(VLOOKUP(Table2[[#This Row],[tee time3]],'Summer FD - groups'!$A$3:$F$20,4,FALSE),"")</f>
        <v/>
      </c>
      <c r="T191" s="13" t="str">
        <f>_xlfn.IFNA(VLOOKUP(Table2[[#This Row],[tee time3]],'Summer FD - groups'!$A$3:$F$20,5,FALSE),"")</f>
        <v/>
      </c>
      <c r="U191" s="69" t="str">
        <f>IF(Table2[[#This Row],[avg gap]]&lt;&gt;"",IFERROR((MAX(starting_interval,IF(Table2[[#This Row],[gap3]]="NA",Table2[[#This Row],[avg gap]],Table2[[#This Row],[gap3]]))-starting_interval)*Table2[[#This Row],[followers3]]/Table2[[#This Row],[group size3]],""),"")</f>
        <v/>
      </c>
      <c r="V191" s="32" t="str">
        <f>_xlfn.IFNA(VLOOKUP(Table2[[#This Row],[Name]],'6-6-6 - players'!$A$2:$B$69,2,FALSE),"")</f>
        <v/>
      </c>
      <c r="W191" s="59" t="str">
        <f>IF(Table2[[#This Row],[tee time4]]&lt;&gt;"",COUNTIF('6-6-6 - players'!$B$2:$B$69,"="&amp;Table2[[#This Row],[tee time4]]),"")</f>
        <v/>
      </c>
      <c r="X191" s="59" t="str">
        <f>_xlfn.IFNA(VLOOKUP(Table2[[#This Row],[tee time4]],'6-6-6 - groups'!$A$3:$F$20,6,FALSE),"")</f>
        <v/>
      </c>
      <c r="Y191" s="4" t="str">
        <f>_xlfn.IFNA(VLOOKUP(Table2[[#This Row],[tee time4]],'6-6-6 - groups'!$A$3:$F$20,4,FALSE),"")</f>
        <v/>
      </c>
      <c r="Z191" s="13" t="str">
        <f>_xlfn.IFNA(VLOOKUP(Table2[[#This Row],[tee time4]],'6-6-6 - groups'!$A$3:$F$20,5,FALSE),"")</f>
        <v/>
      </c>
      <c r="AA191" s="69" t="str">
        <f>IF(Table2[[#This Row],[avg gap]]&lt;&gt;"",IFERROR((MAX(starting_interval,IF(Table2[[#This Row],[gap4]]="NA",Table2[[#This Row],[avg gap]],Table2[[#This Row],[gap4]]))-starting_interval)*Table2[[#This Row],[followers4]]/Table2[[#This Row],[group size4]],""),"")</f>
        <v/>
      </c>
      <c r="AB191" s="32" t="str">
        <f>_xlfn.IFNA(VLOOKUP(Table2[[#This Row],[Name]],'Fall FD - players'!$A$2:$B$65,2,FALSE),"")</f>
        <v/>
      </c>
      <c r="AC191" s="59" t="str">
        <f>IF(Table2[[#This Row],[tee time5]]&lt;&gt;"",COUNTIF('Fall FD - players'!$B$2:$B$65,"="&amp;Table2[[#This Row],[tee time5]]),"")</f>
        <v/>
      </c>
      <c r="AD191" s="59" t="str">
        <f>_xlfn.IFNA(VLOOKUP(Table2[[#This Row],[tee time5]],'Fall FD - groups'!$A$3:$F$20,6,FALSE),"")</f>
        <v/>
      </c>
      <c r="AE191" s="4" t="str">
        <f>_xlfn.IFNA(VLOOKUP(Table2[[#This Row],[tee time5]],'Fall FD - groups'!$A$3:$F$20,4,FALSE),"")</f>
        <v/>
      </c>
      <c r="AF191" s="13" t="str">
        <f>IFERROR(MIN(_xlfn.IFNA(VLOOKUP(Table2[[#This Row],[tee time5]],'Fall FD - groups'!$A$3:$F$20,5,FALSE),""),starting_interval + Table2[[#This Row],[round5]] - standard_round_time),"")</f>
        <v/>
      </c>
      <c r="AG191" s="69" t="str">
        <f>IF(AND(Table2[[#This Row],[gap5]]="NA",Table2[[#This Row],[round5]]&lt;4/24),0,IFERROR((MAX(starting_interval,IF(Table2[[#This Row],[gap5]]="NA",Table2[[#This Row],[avg gap]],Table2[[#This Row],[gap5]]))-starting_interval)*Table2[[#This Row],[followers5]]/Table2[[#This Row],[group size5]],""))</f>
        <v/>
      </c>
      <c r="AH191" s="32" t="str">
        <f>_xlfn.IFNA(VLOOKUP(Table2[[#This Row],[Name]],'Stableford - players'!$A$2:$B$65,2,FALSE),"")</f>
        <v/>
      </c>
      <c r="AI191" s="59" t="str">
        <f>IF(Table2[[#This Row],[tee time6]]&lt;&gt;"",COUNTIF('Stableford - players'!$B$2:$B$65,"="&amp;Table2[[#This Row],[tee time6]]),"")</f>
        <v/>
      </c>
      <c r="AJ191" s="59" t="str">
        <f>_xlfn.IFNA(VLOOKUP(Table2[[#This Row],[tee time6]],'Stableford - groups'!$A$3:$F$20,6,FALSE),"")</f>
        <v/>
      </c>
      <c r="AK191" s="11" t="str">
        <f>_xlfn.IFNA(VLOOKUP(Table2[[#This Row],[tee time6]],'Stableford - groups'!$A$3:$F$20,4,FALSE),"")</f>
        <v/>
      </c>
      <c r="AL191" s="13" t="str">
        <f>_xlfn.IFNA(VLOOKUP(Table2[[#This Row],[tee time6]],'Stableford - groups'!$A$3:$F$20,5,FALSE),"")</f>
        <v/>
      </c>
      <c r="AM191" s="68" t="str">
        <f>IF(AND(Table2[[#This Row],[gap6]]="NA",Table2[[#This Row],[round6]]&lt;4/24),0,IFERROR((MAX(starting_interval,IF(Table2[[#This Row],[gap6]]="NA",Table2[[#This Row],[avg gap]],Table2[[#This Row],[gap6]]))-starting_interval)*Table2[[#This Row],[followers6]]/Table2[[#This Row],[group size6]],""))</f>
        <v/>
      </c>
      <c r="AN191" s="32" t="str">
        <f>_xlfn.IFNA(VLOOKUP(Table2[[#This Row],[Name]],'Turkey Shoot - players'!$A$2:$B$65,2,FALSE),"")</f>
        <v/>
      </c>
      <c r="AO191" s="59" t="str">
        <f>IF(Table2[[#This Row],[tee time7]]&lt;&gt;"",COUNTIF('Turkey Shoot - players'!$B$2:$B$65,"="&amp;Table2[[#This Row],[tee time7]]),"")</f>
        <v/>
      </c>
      <c r="AP191" s="59" t="str">
        <f>_xlfn.IFNA(VLOOKUP(Table2[[#This Row],[tee time7]],'Stableford - groups'!$A$3:$F$20,6,FALSE),"")</f>
        <v/>
      </c>
      <c r="AQ191" s="11" t="str">
        <f>_xlfn.IFNA(VLOOKUP(Table2[[#This Row],[tee time7]],'Turkey Shoot - groups'!$A$3:$F$20,4,FALSE),"")</f>
        <v/>
      </c>
      <c r="AR191" s="13" t="str">
        <f>_xlfn.IFNA(VLOOKUP(Table2[[#This Row],[tee time7]],'Turkey Shoot - groups'!$A$3:$F$20,5,FALSE),"")</f>
        <v/>
      </c>
      <c r="AS191" s="68" t="str">
        <f>IF(AND(Table2[[#This Row],[gap7]]="NA",Table2[[#This Row],[round7]]&lt;4/24),0,IFERROR((MAX(starting_interval,IF(Table2[[#This Row],[gap7]]="NA",Table2[[#This Row],[avg gap]],Table2[[#This Row],[gap7]]))-starting_interval)*Table2[[#This Row],[followers7]]/Table2[[#This Row],[group size7]],""))</f>
        <v/>
      </c>
      <c r="AT191" s="72">
        <f>COUNT(Table2[[#This Row],[Tee time1]],Table2[[#This Row],[tee time2]],Table2[[#This Row],[tee time3]],Table2[[#This Row],[tee time4]],Table2[[#This Row],[tee time5]],Table2[[#This Row],[tee time6]],Table2[[#This Row],[tee time7]])</f>
        <v>0</v>
      </c>
      <c r="AU191" s="4" t="str">
        <f>IFERROR(AVERAGE(Table2[[#This Row],[Tee time1]],Table2[[#This Row],[tee time2]],Table2[[#This Row],[tee time3]],Table2[[#This Row],[tee time4]],Table2[[#This Row],[tee time5]],Table2[[#This Row],[tee time6]],Table2[[#This Row],[tee time7]]),"")</f>
        <v/>
      </c>
      <c r="AV191" s="11" t="str">
        <f>IFERROR(MEDIAN(Table2[[#This Row],[round1]],Table2[[#This Row],[Round2]],Table2[[#This Row],[round3]],Table2[[#This Row],[round4]],Table2[[#This Row],[round5]],Table2[[#This Row],[round6]],Table2[[#This Row],[round7]]),"")</f>
        <v/>
      </c>
      <c r="AW191" s="11" t="str">
        <f>IFERROR(AVERAGE(Table2[[#This Row],[gap1]],Table2[[#This Row],[gap2]],Table2[[#This Row],[gap3]],Table2[[#This Row],[gap4]],Table2[[#This Row],[gap5]],Table2[[#This Row],[gap6]],Table2[[#This Row],[gap7]]),"")</f>
        <v/>
      </c>
      <c r="AX191" s="9" t="str">
        <f>IFERROR((Table2[[#This Row],[avg gap]]-starting_interval)*24*60*Table2[[#This Row],[Count]],"NA")</f>
        <v>NA</v>
      </c>
      <c r="AY191"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91" s="2"/>
    </row>
    <row r="192" spans="1:52" hidden="1" x14ac:dyDescent="0.3">
      <c r="A192" s="10" t="s">
        <v>113</v>
      </c>
      <c r="B192" s="1" t="s">
        <v>368</v>
      </c>
      <c r="C192" s="19">
        <v>16.5</v>
      </c>
      <c r="D192" s="32" t="str">
        <f>_xlfn.IFNA(VLOOKUP(Table2[[#This Row],[Name]],'Classic day 1 - players'!$A$2:$B$64,2,FALSE),"")</f>
        <v/>
      </c>
      <c r="E192" s="33" t="str">
        <f>IF(Table2[[#This Row],[Tee time1]]&lt;&gt;"",COUNTIF('Classic day 1 - players'!$B$2:$B$64,"="&amp;Table2[[#This Row],[Tee time1]]),"")</f>
        <v/>
      </c>
      <c r="F192" s="4" t="str">
        <f>_xlfn.IFNA(VLOOKUP(Table2[[#This Row],[Tee time1]],'Classic day 1 - groups'!$A$3:$F$20,6,FALSE),"")</f>
        <v/>
      </c>
      <c r="G192" s="11" t="str">
        <f>_xlfn.IFNA(VLOOKUP(Table2[[#This Row],[Tee time1]],'Classic day 1 - groups'!$A$3:$F$20,4,FALSE),"")</f>
        <v/>
      </c>
      <c r="H192" s="12" t="str">
        <f>_xlfn.IFNA(VLOOKUP(Table2[[#This Row],[Tee time1]],'Classic day 1 - groups'!$A$3:$F$20,5,FALSE),"")</f>
        <v/>
      </c>
      <c r="I192" s="69" t="str">
        <f>IFERROR((MAX(starting_interval,IF(Table2[[#This Row],[gap1]]="NA",Table2[[#This Row],[avg gap]],Table2[[#This Row],[gap1]]))-starting_interval)*Table2[[#This Row],[followers1]]/Table2[[#This Row],[group size]],"")</f>
        <v/>
      </c>
      <c r="J192" s="32" t="str">
        <f>_xlfn.IFNA(VLOOKUP(Table2[[#This Row],[Name]],'Classic day 2 - players'!$A$2:$B$64,2,FALSE),"")</f>
        <v/>
      </c>
      <c r="K192" s="4" t="str">
        <f>IF(Table2[[#This Row],[tee time2]]&lt;&gt;"",COUNTIF('Classic day 2 - players'!$B$2:$B$64,"="&amp;Table2[[#This Row],[tee time2]]),"")</f>
        <v/>
      </c>
      <c r="L192" s="4" t="str">
        <f>_xlfn.IFNA(VLOOKUP(Table2[[#This Row],[tee time2]],'Classic day 2 - groups'!$A$3:$F$20,6,FALSE),"")</f>
        <v/>
      </c>
      <c r="M192" s="4" t="str">
        <f>_xlfn.IFNA(VLOOKUP(Table2[[#This Row],[tee time2]],'Classic day 2 - groups'!$A$3:$F$20,4,FALSE),"")</f>
        <v/>
      </c>
      <c r="N192" s="65" t="str">
        <f>_xlfn.IFNA(VLOOKUP(Table2[[#This Row],[tee time2]],'Classic day 2 - groups'!$A$3:$F$20,5,FALSE),"")</f>
        <v/>
      </c>
      <c r="O192" s="69" t="str">
        <f>IFERROR((MAX(starting_interval,IF(Table2[[#This Row],[gap2]]="NA",Table2[[#This Row],[avg gap]],Table2[[#This Row],[gap2]]))-starting_interval)*Table2[[#This Row],[followers2]]/Table2[[#This Row],[group size2]],"")</f>
        <v/>
      </c>
      <c r="P192" s="32" t="str">
        <f>_xlfn.IFNA(VLOOKUP(Table2[[#This Row],[Name]],'Summer FD - players'!$A$2:$B$65,2,FALSE),"")</f>
        <v/>
      </c>
      <c r="Q192" s="59" t="str">
        <f>IF(Table2[[#This Row],[tee time3]]&lt;&gt;"",COUNTIF('Summer FD - players'!$B$2:$B$65,"="&amp;Table2[[#This Row],[tee time3]]),"")</f>
        <v/>
      </c>
      <c r="R192" s="59" t="str">
        <f>_xlfn.IFNA(VLOOKUP(Table2[[#This Row],[tee time3]],'Summer FD - groups'!$A$3:$F$20,6,FALSE),"")</f>
        <v/>
      </c>
      <c r="S192" s="4" t="str">
        <f>_xlfn.IFNA(VLOOKUP(Table2[[#This Row],[tee time3]],'Summer FD - groups'!$A$3:$F$20,4,FALSE),"")</f>
        <v/>
      </c>
      <c r="T192" s="13" t="str">
        <f>_xlfn.IFNA(VLOOKUP(Table2[[#This Row],[tee time3]],'Summer FD - groups'!$A$3:$F$20,5,FALSE),"")</f>
        <v/>
      </c>
      <c r="U192" s="69" t="str">
        <f>IF(Table2[[#This Row],[avg gap]]&lt;&gt;"",IFERROR((MAX(starting_interval,IF(Table2[[#This Row],[gap3]]="NA",Table2[[#This Row],[avg gap]],Table2[[#This Row],[gap3]]))-starting_interval)*Table2[[#This Row],[followers3]]/Table2[[#This Row],[group size3]],""),"")</f>
        <v/>
      </c>
      <c r="V192" s="32" t="str">
        <f>_xlfn.IFNA(VLOOKUP(Table2[[#This Row],[Name]],'6-6-6 - players'!$A$2:$B$69,2,FALSE),"")</f>
        <v/>
      </c>
      <c r="W192" s="59" t="str">
        <f>IF(Table2[[#This Row],[tee time4]]&lt;&gt;"",COUNTIF('6-6-6 - players'!$B$2:$B$69,"="&amp;Table2[[#This Row],[tee time4]]),"")</f>
        <v/>
      </c>
      <c r="X192" s="59" t="str">
        <f>_xlfn.IFNA(VLOOKUP(Table2[[#This Row],[tee time4]],'6-6-6 - groups'!$A$3:$F$20,6,FALSE),"")</f>
        <v/>
      </c>
      <c r="Y192" s="4" t="str">
        <f>_xlfn.IFNA(VLOOKUP(Table2[[#This Row],[tee time4]],'6-6-6 - groups'!$A$3:$F$20,4,FALSE),"")</f>
        <v/>
      </c>
      <c r="Z192" s="13" t="str">
        <f>_xlfn.IFNA(VLOOKUP(Table2[[#This Row],[tee time4]],'6-6-6 - groups'!$A$3:$F$20,5,FALSE),"")</f>
        <v/>
      </c>
      <c r="AA192" s="69" t="str">
        <f>IF(Table2[[#This Row],[avg gap]]&lt;&gt;"",IFERROR((MAX(starting_interval,IF(Table2[[#This Row],[gap4]]="NA",Table2[[#This Row],[avg gap]],Table2[[#This Row],[gap4]]))-starting_interval)*Table2[[#This Row],[followers4]]/Table2[[#This Row],[group size4]],""),"")</f>
        <v/>
      </c>
      <c r="AB192" s="32" t="str">
        <f>_xlfn.IFNA(VLOOKUP(Table2[[#This Row],[Name]],'Fall FD - players'!$A$2:$B$65,2,FALSE),"")</f>
        <v/>
      </c>
      <c r="AC192" s="59" t="str">
        <f>IF(Table2[[#This Row],[tee time5]]&lt;&gt;"",COUNTIF('Fall FD - players'!$B$2:$B$65,"="&amp;Table2[[#This Row],[tee time5]]),"")</f>
        <v/>
      </c>
      <c r="AD192" s="59" t="str">
        <f>_xlfn.IFNA(VLOOKUP(Table2[[#This Row],[tee time5]],'Fall FD - groups'!$A$3:$F$20,6,FALSE),"")</f>
        <v/>
      </c>
      <c r="AE192" s="4" t="str">
        <f>_xlfn.IFNA(VLOOKUP(Table2[[#This Row],[tee time5]],'Fall FD - groups'!$A$3:$F$20,4,FALSE),"")</f>
        <v/>
      </c>
      <c r="AF192" s="13" t="str">
        <f>IFERROR(MIN(_xlfn.IFNA(VLOOKUP(Table2[[#This Row],[tee time5]],'Fall FD - groups'!$A$3:$F$20,5,FALSE),""),starting_interval + Table2[[#This Row],[round5]] - standard_round_time),"")</f>
        <v/>
      </c>
      <c r="AG192" s="69" t="str">
        <f>IF(AND(Table2[[#This Row],[gap5]]="NA",Table2[[#This Row],[round5]]&lt;4/24),0,IFERROR((MAX(starting_interval,IF(Table2[[#This Row],[gap5]]="NA",Table2[[#This Row],[avg gap]],Table2[[#This Row],[gap5]]))-starting_interval)*Table2[[#This Row],[followers5]]/Table2[[#This Row],[group size5]],""))</f>
        <v/>
      </c>
      <c r="AH192" s="32" t="str">
        <f>_xlfn.IFNA(VLOOKUP(Table2[[#This Row],[Name]],'Stableford - players'!$A$2:$B$65,2,FALSE),"")</f>
        <v/>
      </c>
      <c r="AI192" s="59" t="str">
        <f>IF(Table2[[#This Row],[tee time6]]&lt;&gt;"",COUNTIF('Stableford - players'!$B$2:$B$65,"="&amp;Table2[[#This Row],[tee time6]]),"")</f>
        <v/>
      </c>
      <c r="AJ192" s="59" t="str">
        <f>_xlfn.IFNA(VLOOKUP(Table2[[#This Row],[tee time6]],'Stableford - groups'!$A$3:$F$20,6,FALSE),"")</f>
        <v/>
      </c>
      <c r="AK192" s="11" t="str">
        <f>_xlfn.IFNA(VLOOKUP(Table2[[#This Row],[tee time6]],'Stableford - groups'!$A$3:$F$20,4,FALSE),"")</f>
        <v/>
      </c>
      <c r="AL192" s="13" t="str">
        <f>_xlfn.IFNA(VLOOKUP(Table2[[#This Row],[tee time6]],'Stableford - groups'!$A$3:$F$20,5,FALSE),"")</f>
        <v/>
      </c>
      <c r="AM192" s="68" t="str">
        <f>IF(AND(Table2[[#This Row],[gap6]]="NA",Table2[[#This Row],[round6]]&lt;4/24),0,IFERROR((MAX(starting_interval,IF(Table2[[#This Row],[gap6]]="NA",Table2[[#This Row],[avg gap]],Table2[[#This Row],[gap6]]))-starting_interval)*Table2[[#This Row],[followers6]]/Table2[[#This Row],[group size6]],""))</f>
        <v/>
      </c>
      <c r="AN192" s="32" t="str">
        <f>_xlfn.IFNA(VLOOKUP(Table2[[#This Row],[Name]],'Turkey Shoot - players'!$A$2:$B$65,2,FALSE),"")</f>
        <v/>
      </c>
      <c r="AO192" s="59" t="str">
        <f>IF(Table2[[#This Row],[tee time7]]&lt;&gt;"",COUNTIF('Turkey Shoot - players'!$B$2:$B$65,"="&amp;Table2[[#This Row],[tee time7]]),"")</f>
        <v/>
      </c>
      <c r="AP192" s="59" t="str">
        <f>_xlfn.IFNA(VLOOKUP(Table2[[#This Row],[tee time7]],'Stableford - groups'!$A$3:$F$20,6,FALSE),"")</f>
        <v/>
      </c>
      <c r="AQ192" s="11" t="str">
        <f>_xlfn.IFNA(VLOOKUP(Table2[[#This Row],[tee time7]],'Turkey Shoot - groups'!$A$3:$F$20,4,FALSE),"")</f>
        <v/>
      </c>
      <c r="AR192" s="13" t="str">
        <f>_xlfn.IFNA(VLOOKUP(Table2[[#This Row],[tee time7]],'Turkey Shoot - groups'!$A$3:$F$20,5,FALSE),"")</f>
        <v/>
      </c>
      <c r="AS192" s="68" t="str">
        <f>IF(AND(Table2[[#This Row],[gap7]]="NA",Table2[[#This Row],[round7]]&lt;4/24),0,IFERROR((MAX(starting_interval,IF(Table2[[#This Row],[gap7]]="NA",Table2[[#This Row],[avg gap]],Table2[[#This Row],[gap7]]))-starting_interval)*Table2[[#This Row],[followers7]]/Table2[[#This Row],[group size7]],""))</f>
        <v/>
      </c>
      <c r="AT192" s="72">
        <f>COUNT(Table2[[#This Row],[Tee time1]],Table2[[#This Row],[tee time2]],Table2[[#This Row],[tee time3]],Table2[[#This Row],[tee time4]],Table2[[#This Row],[tee time5]],Table2[[#This Row],[tee time6]],Table2[[#This Row],[tee time7]])</f>
        <v>0</v>
      </c>
      <c r="AU192" s="4" t="str">
        <f>IFERROR(AVERAGE(Table2[[#This Row],[Tee time1]],Table2[[#This Row],[tee time2]],Table2[[#This Row],[tee time3]],Table2[[#This Row],[tee time4]],Table2[[#This Row],[tee time5]],Table2[[#This Row],[tee time6]],Table2[[#This Row],[tee time7]]),"")</f>
        <v/>
      </c>
      <c r="AV192" s="11" t="str">
        <f>IFERROR(MEDIAN(Table2[[#This Row],[round1]],Table2[[#This Row],[Round2]],Table2[[#This Row],[round3]],Table2[[#This Row],[round4]],Table2[[#This Row],[round5]],Table2[[#This Row],[round6]],Table2[[#This Row],[round7]]),"")</f>
        <v/>
      </c>
      <c r="AW192" s="11" t="str">
        <f>IFERROR(AVERAGE(Table2[[#This Row],[gap1]],Table2[[#This Row],[gap2]],Table2[[#This Row],[gap3]],Table2[[#This Row],[gap4]],Table2[[#This Row],[gap5]],Table2[[#This Row],[gap6]],Table2[[#This Row],[gap7]]),"")</f>
        <v/>
      </c>
      <c r="AX192" s="9" t="str">
        <f>IFERROR((Table2[[#This Row],[avg gap]]-starting_interval)*24*60*Table2[[#This Row],[Count]],"NA")</f>
        <v>NA</v>
      </c>
      <c r="AY192"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92" s="2"/>
    </row>
    <row r="193" spans="1:52" hidden="1" x14ac:dyDescent="0.3">
      <c r="A193" s="10" t="s">
        <v>131</v>
      </c>
      <c r="B193" s="1" t="s">
        <v>372</v>
      </c>
      <c r="C193" s="19">
        <v>15.6</v>
      </c>
      <c r="D193" s="32" t="str">
        <f>_xlfn.IFNA(VLOOKUP(Table2[[#This Row],[Name]],'Classic day 1 - players'!$A$2:$B$64,2,FALSE),"")</f>
        <v/>
      </c>
      <c r="E193" s="33" t="str">
        <f>IF(Table2[[#This Row],[Tee time1]]&lt;&gt;"",COUNTIF('Classic day 1 - players'!$B$2:$B$64,"="&amp;Table2[[#This Row],[Tee time1]]),"")</f>
        <v/>
      </c>
      <c r="F193" s="4" t="str">
        <f>_xlfn.IFNA(VLOOKUP(Table2[[#This Row],[Tee time1]],'Classic day 1 - groups'!$A$3:$F$20,6,FALSE),"")</f>
        <v/>
      </c>
      <c r="G193" s="11" t="str">
        <f>_xlfn.IFNA(VLOOKUP(Table2[[#This Row],[Tee time1]],'Classic day 1 - groups'!$A$3:$F$20,4,FALSE),"")</f>
        <v/>
      </c>
      <c r="H193" s="12" t="str">
        <f>_xlfn.IFNA(VLOOKUP(Table2[[#This Row],[Tee time1]],'Classic day 1 - groups'!$A$3:$F$20,5,FALSE),"")</f>
        <v/>
      </c>
      <c r="I193" s="69" t="str">
        <f>IFERROR((MAX(starting_interval,IF(Table2[[#This Row],[gap1]]="NA",Table2[[#This Row],[avg gap]],Table2[[#This Row],[gap1]]))-starting_interval)*Table2[[#This Row],[followers1]]/Table2[[#This Row],[group size]],"")</f>
        <v/>
      </c>
      <c r="J193" s="32" t="str">
        <f>_xlfn.IFNA(VLOOKUP(Table2[[#This Row],[Name]],'Classic day 2 - players'!$A$2:$B$64,2,FALSE),"")</f>
        <v/>
      </c>
      <c r="K193" s="4" t="str">
        <f>IF(Table2[[#This Row],[tee time2]]&lt;&gt;"",COUNTIF('Classic day 2 - players'!$B$2:$B$64,"="&amp;Table2[[#This Row],[tee time2]]),"")</f>
        <v/>
      </c>
      <c r="L193" s="4" t="str">
        <f>_xlfn.IFNA(VLOOKUP(Table2[[#This Row],[tee time2]],'Classic day 2 - groups'!$A$3:$F$20,6,FALSE),"")</f>
        <v/>
      </c>
      <c r="M193" s="4" t="str">
        <f>_xlfn.IFNA(VLOOKUP(Table2[[#This Row],[tee time2]],'Classic day 2 - groups'!$A$3:$F$20,4,FALSE),"")</f>
        <v/>
      </c>
      <c r="N193" s="65" t="str">
        <f>_xlfn.IFNA(VLOOKUP(Table2[[#This Row],[tee time2]],'Classic day 2 - groups'!$A$3:$F$20,5,FALSE),"")</f>
        <v/>
      </c>
      <c r="O193" s="69" t="str">
        <f>IFERROR((MAX(starting_interval,IF(Table2[[#This Row],[gap2]]="NA",Table2[[#This Row],[avg gap]],Table2[[#This Row],[gap2]]))-starting_interval)*Table2[[#This Row],[followers2]]/Table2[[#This Row],[group size2]],"")</f>
        <v/>
      </c>
      <c r="P193" s="32" t="str">
        <f>_xlfn.IFNA(VLOOKUP(Table2[[#This Row],[Name]],'Summer FD - players'!$A$2:$B$65,2,FALSE),"")</f>
        <v/>
      </c>
      <c r="Q193" s="59" t="str">
        <f>IF(Table2[[#This Row],[tee time3]]&lt;&gt;"",COUNTIF('Summer FD - players'!$B$2:$B$65,"="&amp;Table2[[#This Row],[tee time3]]),"")</f>
        <v/>
      </c>
      <c r="R193" s="59" t="str">
        <f>_xlfn.IFNA(VLOOKUP(Table2[[#This Row],[tee time3]],'Summer FD - groups'!$A$3:$F$20,6,FALSE),"")</f>
        <v/>
      </c>
      <c r="S193" s="4" t="str">
        <f>_xlfn.IFNA(VLOOKUP(Table2[[#This Row],[tee time3]],'Summer FD - groups'!$A$3:$F$20,4,FALSE),"")</f>
        <v/>
      </c>
      <c r="T193" s="13" t="str">
        <f>_xlfn.IFNA(VLOOKUP(Table2[[#This Row],[tee time3]],'Summer FD - groups'!$A$3:$F$20,5,FALSE),"")</f>
        <v/>
      </c>
      <c r="U193" s="69" t="str">
        <f>IF(Table2[[#This Row],[avg gap]]&lt;&gt;"",IFERROR((MAX(starting_interval,IF(Table2[[#This Row],[gap3]]="NA",Table2[[#This Row],[avg gap]],Table2[[#This Row],[gap3]]))-starting_interval)*Table2[[#This Row],[followers3]]/Table2[[#This Row],[group size3]],""),"")</f>
        <v/>
      </c>
      <c r="V193" s="32" t="str">
        <f>_xlfn.IFNA(VLOOKUP(Table2[[#This Row],[Name]],'6-6-6 - players'!$A$2:$B$69,2,FALSE),"")</f>
        <v/>
      </c>
      <c r="W193" s="59" t="str">
        <f>IF(Table2[[#This Row],[tee time4]]&lt;&gt;"",COUNTIF('6-6-6 - players'!$B$2:$B$69,"="&amp;Table2[[#This Row],[tee time4]]),"")</f>
        <v/>
      </c>
      <c r="X193" s="59" t="str">
        <f>_xlfn.IFNA(VLOOKUP(Table2[[#This Row],[tee time4]],'6-6-6 - groups'!$A$3:$F$20,6,FALSE),"")</f>
        <v/>
      </c>
      <c r="Y193" s="4" t="str">
        <f>_xlfn.IFNA(VLOOKUP(Table2[[#This Row],[tee time4]],'6-6-6 - groups'!$A$3:$F$20,4,FALSE),"")</f>
        <v/>
      </c>
      <c r="Z193" s="13" t="str">
        <f>_xlfn.IFNA(VLOOKUP(Table2[[#This Row],[tee time4]],'6-6-6 - groups'!$A$3:$F$20,5,FALSE),"")</f>
        <v/>
      </c>
      <c r="AA193" s="69" t="str">
        <f>IF(Table2[[#This Row],[avg gap]]&lt;&gt;"",IFERROR((MAX(starting_interval,IF(Table2[[#This Row],[gap4]]="NA",Table2[[#This Row],[avg gap]],Table2[[#This Row],[gap4]]))-starting_interval)*Table2[[#This Row],[followers4]]/Table2[[#This Row],[group size4]],""),"")</f>
        <v/>
      </c>
      <c r="AB193" s="32" t="str">
        <f>_xlfn.IFNA(VLOOKUP(Table2[[#This Row],[Name]],'Fall FD - players'!$A$2:$B$65,2,FALSE),"")</f>
        <v/>
      </c>
      <c r="AC193" s="59" t="str">
        <f>IF(Table2[[#This Row],[tee time5]]&lt;&gt;"",COUNTIF('Fall FD - players'!$B$2:$B$65,"="&amp;Table2[[#This Row],[tee time5]]),"")</f>
        <v/>
      </c>
      <c r="AD193" s="59" t="str">
        <f>_xlfn.IFNA(VLOOKUP(Table2[[#This Row],[tee time5]],'Fall FD - groups'!$A$3:$F$20,6,FALSE),"")</f>
        <v/>
      </c>
      <c r="AE193" s="4" t="str">
        <f>_xlfn.IFNA(VLOOKUP(Table2[[#This Row],[tee time5]],'Fall FD - groups'!$A$3:$F$20,4,FALSE),"")</f>
        <v/>
      </c>
      <c r="AF193" s="13" t="str">
        <f>IFERROR(MIN(_xlfn.IFNA(VLOOKUP(Table2[[#This Row],[tee time5]],'Fall FD - groups'!$A$3:$F$20,5,FALSE),""),starting_interval + Table2[[#This Row],[round5]] - standard_round_time),"")</f>
        <v/>
      </c>
      <c r="AG193" s="69" t="str">
        <f>IF(AND(Table2[[#This Row],[gap5]]="NA",Table2[[#This Row],[round5]]&lt;4/24),0,IFERROR((MAX(starting_interval,IF(Table2[[#This Row],[gap5]]="NA",Table2[[#This Row],[avg gap]],Table2[[#This Row],[gap5]]))-starting_interval)*Table2[[#This Row],[followers5]]/Table2[[#This Row],[group size5]],""))</f>
        <v/>
      </c>
      <c r="AH193" s="32" t="str">
        <f>_xlfn.IFNA(VLOOKUP(Table2[[#This Row],[Name]],'Stableford - players'!$A$2:$B$65,2,FALSE),"")</f>
        <v/>
      </c>
      <c r="AI193" s="59" t="str">
        <f>IF(Table2[[#This Row],[tee time6]]&lt;&gt;"",COUNTIF('Stableford - players'!$B$2:$B$65,"="&amp;Table2[[#This Row],[tee time6]]),"")</f>
        <v/>
      </c>
      <c r="AJ193" s="59" t="str">
        <f>_xlfn.IFNA(VLOOKUP(Table2[[#This Row],[tee time6]],'Stableford - groups'!$A$3:$F$20,6,FALSE),"")</f>
        <v/>
      </c>
      <c r="AK193" s="11" t="str">
        <f>_xlfn.IFNA(VLOOKUP(Table2[[#This Row],[tee time6]],'Stableford - groups'!$A$3:$F$20,4,FALSE),"")</f>
        <v/>
      </c>
      <c r="AL193" s="13" t="str">
        <f>_xlfn.IFNA(VLOOKUP(Table2[[#This Row],[tee time6]],'Stableford - groups'!$A$3:$F$20,5,FALSE),"")</f>
        <v/>
      </c>
      <c r="AM193" s="68" t="str">
        <f>IF(AND(Table2[[#This Row],[gap6]]="NA",Table2[[#This Row],[round6]]&lt;4/24),0,IFERROR((MAX(starting_interval,IF(Table2[[#This Row],[gap6]]="NA",Table2[[#This Row],[avg gap]],Table2[[#This Row],[gap6]]))-starting_interval)*Table2[[#This Row],[followers6]]/Table2[[#This Row],[group size6]],""))</f>
        <v/>
      </c>
      <c r="AN193" s="32" t="str">
        <f>_xlfn.IFNA(VLOOKUP(Table2[[#This Row],[Name]],'Turkey Shoot - players'!$A$2:$B$65,2,FALSE),"")</f>
        <v/>
      </c>
      <c r="AO193" s="59" t="str">
        <f>IF(Table2[[#This Row],[tee time7]]&lt;&gt;"",COUNTIF('Turkey Shoot - players'!$B$2:$B$65,"="&amp;Table2[[#This Row],[tee time7]]),"")</f>
        <v/>
      </c>
      <c r="AP193" s="59" t="str">
        <f>_xlfn.IFNA(VLOOKUP(Table2[[#This Row],[tee time7]],'Stableford - groups'!$A$3:$F$20,6,FALSE),"")</f>
        <v/>
      </c>
      <c r="AQ193" s="11" t="str">
        <f>_xlfn.IFNA(VLOOKUP(Table2[[#This Row],[tee time7]],'Turkey Shoot - groups'!$A$3:$F$20,4,FALSE),"")</f>
        <v/>
      </c>
      <c r="AR193" s="13" t="str">
        <f>_xlfn.IFNA(VLOOKUP(Table2[[#This Row],[tee time7]],'Turkey Shoot - groups'!$A$3:$F$20,5,FALSE),"")</f>
        <v/>
      </c>
      <c r="AS193" s="68" t="str">
        <f>IF(AND(Table2[[#This Row],[gap7]]="NA",Table2[[#This Row],[round7]]&lt;4/24),0,IFERROR((MAX(starting_interval,IF(Table2[[#This Row],[gap7]]="NA",Table2[[#This Row],[avg gap]],Table2[[#This Row],[gap7]]))-starting_interval)*Table2[[#This Row],[followers7]]/Table2[[#This Row],[group size7]],""))</f>
        <v/>
      </c>
      <c r="AT193" s="72">
        <f>COUNT(Table2[[#This Row],[Tee time1]],Table2[[#This Row],[tee time2]],Table2[[#This Row],[tee time3]],Table2[[#This Row],[tee time4]],Table2[[#This Row],[tee time5]],Table2[[#This Row],[tee time6]],Table2[[#This Row],[tee time7]])</f>
        <v>0</v>
      </c>
      <c r="AU193" s="4" t="str">
        <f>IFERROR(AVERAGE(Table2[[#This Row],[Tee time1]],Table2[[#This Row],[tee time2]],Table2[[#This Row],[tee time3]],Table2[[#This Row],[tee time4]],Table2[[#This Row],[tee time5]],Table2[[#This Row],[tee time6]],Table2[[#This Row],[tee time7]]),"")</f>
        <v/>
      </c>
      <c r="AV193" s="11" t="str">
        <f>IFERROR(MEDIAN(Table2[[#This Row],[round1]],Table2[[#This Row],[Round2]],Table2[[#This Row],[round3]],Table2[[#This Row],[round4]],Table2[[#This Row],[round5]],Table2[[#This Row],[round6]],Table2[[#This Row],[round7]]),"")</f>
        <v/>
      </c>
      <c r="AW193" s="11" t="str">
        <f>IFERROR(AVERAGE(Table2[[#This Row],[gap1]],Table2[[#This Row],[gap2]],Table2[[#This Row],[gap3]],Table2[[#This Row],[gap4]],Table2[[#This Row],[gap5]],Table2[[#This Row],[gap6]],Table2[[#This Row],[gap7]]),"")</f>
        <v/>
      </c>
      <c r="AX193" s="9" t="str">
        <f>IFERROR((Table2[[#This Row],[avg gap]]-starting_interval)*24*60*Table2[[#This Row],[Count]],"NA")</f>
        <v>NA</v>
      </c>
      <c r="AY193"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93" s="2"/>
    </row>
    <row r="194" spans="1:52" hidden="1" x14ac:dyDescent="0.3">
      <c r="A194" s="10" t="s">
        <v>132</v>
      </c>
      <c r="B194" s="1" t="s">
        <v>373</v>
      </c>
      <c r="C194" s="19">
        <v>13.3</v>
      </c>
      <c r="D194" s="32" t="str">
        <f>_xlfn.IFNA(VLOOKUP(Table2[[#This Row],[Name]],'Classic day 1 - players'!$A$2:$B$64,2,FALSE),"")</f>
        <v/>
      </c>
      <c r="E194" s="33" t="str">
        <f>IF(Table2[[#This Row],[Tee time1]]&lt;&gt;"",COUNTIF('Classic day 1 - players'!$B$2:$B$64,"="&amp;Table2[[#This Row],[Tee time1]]),"")</f>
        <v/>
      </c>
      <c r="F194" s="4" t="str">
        <f>_xlfn.IFNA(VLOOKUP(Table2[[#This Row],[Tee time1]],'Classic day 1 - groups'!$A$3:$F$20,6,FALSE),"")</f>
        <v/>
      </c>
      <c r="G194" s="11" t="str">
        <f>_xlfn.IFNA(VLOOKUP(Table2[[#This Row],[Tee time1]],'Classic day 1 - groups'!$A$3:$F$20,4,FALSE),"")</f>
        <v/>
      </c>
      <c r="H194" s="12" t="str">
        <f>_xlfn.IFNA(VLOOKUP(Table2[[#This Row],[Tee time1]],'Classic day 1 - groups'!$A$3:$F$20,5,FALSE),"")</f>
        <v/>
      </c>
      <c r="I194" s="69" t="str">
        <f>IFERROR((MAX(starting_interval,IF(Table2[[#This Row],[gap1]]="NA",Table2[[#This Row],[avg gap]],Table2[[#This Row],[gap1]]))-starting_interval)*Table2[[#This Row],[followers1]]/Table2[[#This Row],[group size]],"")</f>
        <v/>
      </c>
      <c r="J194" s="32" t="str">
        <f>_xlfn.IFNA(VLOOKUP(Table2[[#This Row],[Name]],'Classic day 2 - players'!$A$2:$B$64,2,FALSE),"")</f>
        <v/>
      </c>
      <c r="K194" s="4" t="str">
        <f>IF(Table2[[#This Row],[tee time2]]&lt;&gt;"",COUNTIF('Classic day 2 - players'!$B$2:$B$64,"="&amp;Table2[[#This Row],[tee time2]]),"")</f>
        <v/>
      </c>
      <c r="L194" s="4" t="str">
        <f>_xlfn.IFNA(VLOOKUP(Table2[[#This Row],[tee time2]],'Classic day 2 - groups'!$A$3:$F$20,6,FALSE),"")</f>
        <v/>
      </c>
      <c r="M194" s="4" t="str">
        <f>_xlfn.IFNA(VLOOKUP(Table2[[#This Row],[tee time2]],'Classic day 2 - groups'!$A$3:$F$20,4,FALSE),"")</f>
        <v/>
      </c>
      <c r="N194" s="65" t="str">
        <f>_xlfn.IFNA(VLOOKUP(Table2[[#This Row],[tee time2]],'Classic day 2 - groups'!$A$3:$F$20,5,FALSE),"")</f>
        <v/>
      </c>
      <c r="O194" s="69" t="str">
        <f>IFERROR((MAX(starting_interval,IF(Table2[[#This Row],[gap2]]="NA",Table2[[#This Row],[avg gap]],Table2[[#This Row],[gap2]]))-starting_interval)*Table2[[#This Row],[followers2]]/Table2[[#This Row],[group size2]],"")</f>
        <v/>
      </c>
      <c r="P194" s="32" t="str">
        <f>_xlfn.IFNA(VLOOKUP(Table2[[#This Row],[Name]],'Summer FD - players'!$A$2:$B$65,2,FALSE),"")</f>
        <v/>
      </c>
      <c r="Q194" s="59" t="str">
        <f>IF(Table2[[#This Row],[tee time3]]&lt;&gt;"",COUNTIF('Summer FD - players'!$B$2:$B$65,"="&amp;Table2[[#This Row],[tee time3]]),"")</f>
        <v/>
      </c>
      <c r="R194" s="59" t="str">
        <f>_xlfn.IFNA(VLOOKUP(Table2[[#This Row],[tee time3]],'Summer FD - groups'!$A$3:$F$20,6,FALSE),"")</f>
        <v/>
      </c>
      <c r="S194" s="4" t="str">
        <f>_xlfn.IFNA(VLOOKUP(Table2[[#This Row],[tee time3]],'Summer FD - groups'!$A$3:$F$20,4,FALSE),"")</f>
        <v/>
      </c>
      <c r="T194" s="13" t="str">
        <f>_xlfn.IFNA(VLOOKUP(Table2[[#This Row],[tee time3]],'Summer FD - groups'!$A$3:$F$20,5,FALSE),"")</f>
        <v/>
      </c>
      <c r="U194" s="69" t="str">
        <f>IF(Table2[[#This Row],[avg gap]]&lt;&gt;"",IFERROR((MAX(starting_interval,IF(Table2[[#This Row],[gap3]]="NA",Table2[[#This Row],[avg gap]],Table2[[#This Row],[gap3]]))-starting_interval)*Table2[[#This Row],[followers3]]/Table2[[#This Row],[group size3]],""),"")</f>
        <v/>
      </c>
      <c r="V194" s="32" t="str">
        <f>_xlfn.IFNA(VLOOKUP(Table2[[#This Row],[Name]],'6-6-6 - players'!$A$2:$B$69,2,FALSE),"")</f>
        <v/>
      </c>
      <c r="W194" s="59" t="str">
        <f>IF(Table2[[#This Row],[tee time4]]&lt;&gt;"",COUNTIF('6-6-6 - players'!$B$2:$B$69,"="&amp;Table2[[#This Row],[tee time4]]),"")</f>
        <v/>
      </c>
      <c r="X194" s="59" t="str">
        <f>_xlfn.IFNA(VLOOKUP(Table2[[#This Row],[tee time4]],'6-6-6 - groups'!$A$3:$F$20,6,FALSE),"")</f>
        <v/>
      </c>
      <c r="Y194" s="4" t="str">
        <f>_xlfn.IFNA(VLOOKUP(Table2[[#This Row],[tee time4]],'6-6-6 - groups'!$A$3:$F$20,4,FALSE),"")</f>
        <v/>
      </c>
      <c r="Z194" s="13" t="str">
        <f>_xlfn.IFNA(VLOOKUP(Table2[[#This Row],[tee time4]],'6-6-6 - groups'!$A$3:$F$20,5,FALSE),"")</f>
        <v/>
      </c>
      <c r="AA194" s="69" t="str">
        <f>IF(Table2[[#This Row],[avg gap]]&lt;&gt;"",IFERROR((MAX(starting_interval,IF(Table2[[#This Row],[gap4]]="NA",Table2[[#This Row],[avg gap]],Table2[[#This Row],[gap4]]))-starting_interval)*Table2[[#This Row],[followers4]]/Table2[[#This Row],[group size4]],""),"")</f>
        <v/>
      </c>
      <c r="AB194" s="32" t="str">
        <f>_xlfn.IFNA(VLOOKUP(Table2[[#This Row],[Name]],'Fall FD - players'!$A$2:$B$65,2,FALSE),"")</f>
        <v/>
      </c>
      <c r="AC194" s="59" t="str">
        <f>IF(Table2[[#This Row],[tee time5]]&lt;&gt;"",COUNTIF('Fall FD - players'!$B$2:$B$65,"="&amp;Table2[[#This Row],[tee time5]]),"")</f>
        <v/>
      </c>
      <c r="AD194" s="59" t="str">
        <f>_xlfn.IFNA(VLOOKUP(Table2[[#This Row],[tee time5]],'Fall FD - groups'!$A$3:$F$20,6,FALSE),"")</f>
        <v/>
      </c>
      <c r="AE194" s="4" t="str">
        <f>_xlfn.IFNA(VLOOKUP(Table2[[#This Row],[tee time5]],'Fall FD - groups'!$A$3:$F$20,4,FALSE),"")</f>
        <v/>
      </c>
      <c r="AF194" s="13" t="str">
        <f>IFERROR(MIN(_xlfn.IFNA(VLOOKUP(Table2[[#This Row],[tee time5]],'Fall FD - groups'!$A$3:$F$20,5,FALSE),""),starting_interval + Table2[[#This Row],[round5]] - standard_round_time),"")</f>
        <v/>
      </c>
      <c r="AG194" s="69" t="str">
        <f>IF(AND(Table2[[#This Row],[gap5]]="NA",Table2[[#This Row],[round5]]&lt;4/24),0,IFERROR((MAX(starting_interval,IF(Table2[[#This Row],[gap5]]="NA",Table2[[#This Row],[avg gap]],Table2[[#This Row],[gap5]]))-starting_interval)*Table2[[#This Row],[followers5]]/Table2[[#This Row],[group size5]],""))</f>
        <v/>
      </c>
      <c r="AH194" s="32" t="str">
        <f>_xlfn.IFNA(VLOOKUP(Table2[[#This Row],[Name]],'Stableford - players'!$A$2:$B$65,2,FALSE),"")</f>
        <v/>
      </c>
      <c r="AI194" s="59" t="str">
        <f>IF(Table2[[#This Row],[tee time6]]&lt;&gt;"",COUNTIF('Stableford - players'!$B$2:$B$65,"="&amp;Table2[[#This Row],[tee time6]]),"")</f>
        <v/>
      </c>
      <c r="AJ194" s="59" t="str">
        <f>_xlfn.IFNA(VLOOKUP(Table2[[#This Row],[tee time6]],'Stableford - groups'!$A$3:$F$20,6,FALSE),"")</f>
        <v/>
      </c>
      <c r="AK194" s="11" t="str">
        <f>_xlfn.IFNA(VLOOKUP(Table2[[#This Row],[tee time6]],'Stableford - groups'!$A$3:$F$20,4,FALSE),"")</f>
        <v/>
      </c>
      <c r="AL194" s="13" t="str">
        <f>_xlfn.IFNA(VLOOKUP(Table2[[#This Row],[tee time6]],'Stableford - groups'!$A$3:$F$20,5,FALSE),"")</f>
        <v/>
      </c>
      <c r="AM194" s="68" t="str">
        <f>IF(AND(Table2[[#This Row],[gap6]]="NA",Table2[[#This Row],[round6]]&lt;4/24),0,IFERROR((MAX(starting_interval,IF(Table2[[#This Row],[gap6]]="NA",Table2[[#This Row],[avg gap]],Table2[[#This Row],[gap6]]))-starting_interval)*Table2[[#This Row],[followers6]]/Table2[[#This Row],[group size6]],""))</f>
        <v/>
      </c>
      <c r="AN194" s="32" t="str">
        <f>_xlfn.IFNA(VLOOKUP(Table2[[#This Row],[Name]],'Turkey Shoot - players'!$A$2:$B$65,2,FALSE),"")</f>
        <v/>
      </c>
      <c r="AO194" s="59" t="str">
        <f>IF(Table2[[#This Row],[tee time7]]&lt;&gt;"",COUNTIF('Turkey Shoot - players'!$B$2:$B$65,"="&amp;Table2[[#This Row],[tee time7]]),"")</f>
        <v/>
      </c>
      <c r="AP194" s="59" t="str">
        <f>_xlfn.IFNA(VLOOKUP(Table2[[#This Row],[tee time7]],'Stableford - groups'!$A$3:$F$20,6,FALSE),"")</f>
        <v/>
      </c>
      <c r="AQ194" s="11" t="str">
        <f>_xlfn.IFNA(VLOOKUP(Table2[[#This Row],[tee time7]],'Turkey Shoot - groups'!$A$3:$F$20,4,FALSE),"")</f>
        <v/>
      </c>
      <c r="AR194" s="13" t="str">
        <f>_xlfn.IFNA(VLOOKUP(Table2[[#This Row],[tee time7]],'Turkey Shoot - groups'!$A$3:$F$20,5,FALSE),"")</f>
        <v/>
      </c>
      <c r="AS194" s="68" t="str">
        <f>IF(AND(Table2[[#This Row],[gap7]]="NA",Table2[[#This Row],[round7]]&lt;4/24),0,IFERROR((MAX(starting_interval,IF(Table2[[#This Row],[gap7]]="NA",Table2[[#This Row],[avg gap]],Table2[[#This Row],[gap7]]))-starting_interval)*Table2[[#This Row],[followers7]]/Table2[[#This Row],[group size7]],""))</f>
        <v/>
      </c>
      <c r="AT194" s="72">
        <f>COUNT(Table2[[#This Row],[Tee time1]],Table2[[#This Row],[tee time2]],Table2[[#This Row],[tee time3]],Table2[[#This Row],[tee time4]],Table2[[#This Row],[tee time5]],Table2[[#This Row],[tee time6]],Table2[[#This Row],[tee time7]])</f>
        <v>0</v>
      </c>
      <c r="AU194" s="4" t="str">
        <f>IFERROR(AVERAGE(Table2[[#This Row],[Tee time1]],Table2[[#This Row],[tee time2]],Table2[[#This Row],[tee time3]],Table2[[#This Row],[tee time4]],Table2[[#This Row],[tee time5]],Table2[[#This Row],[tee time6]],Table2[[#This Row],[tee time7]]),"")</f>
        <v/>
      </c>
      <c r="AV194" s="11" t="str">
        <f>IFERROR(MEDIAN(Table2[[#This Row],[round1]],Table2[[#This Row],[Round2]],Table2[[#This Row],[round3]],Table2[[#This Row],[round4]],Table2[[#This Row],[round5]],Table2[[#This Row],[round6]],Table2[[#This Row],[round7]]),"")</f>
        <v/>
      </c>
      <c r="AW194" s="11" t="str">
        <f>IFERROR(AVERAGE(Table2[[#This Row],[gap1]],Table2[[#This Row],[gap2]],Table2[[#This Row],[gap3]],Table2[[#This Row],[gap4]],Table2[[#This Row],[gap5]],Table2[[#This Row],[gap6]],Table2[[#This Row],[gap7]]),"")</f>
        <v/>
      </c>
      <c r="AX194" s="9" t="str">
        <f>IFERROR((Table2[[#This Row],[avg gap]]-starting_interval)*24*60*Table2[[#This Row],[Count]],"NA")</f>
        <v>NA</v>
      </c>
      <c r="AY194"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94" s="2"/>
    </row>
    <row r="195" spans="1:52" hidden="1" x14ac:dyDescent="0.3">
      <c r="A195" s="10" t="s">
        <v>135</v>
      </c>
      <c r="B195" s="1" t="s">
        <v>376</v>
      </c>
      <c r="C195" s="19">
        <v>15.3</v>
      </c>
      <c r="D195" s="32" t="str">
        <f>_xlfn.IFNA(VLOOKUP(Table2[[#This Row],[Name]],'Classic day 1 - players'!$A$2:$B$64,2,FALSE),"")</f>
        <v/>
      </c>
      <c r="E195" s="33" t="str">
        <f>IF(Table2[[#This Row],[Tee time1]]&lt;&gt;"",COUNTIF('Classic day 1 - players'!$B$2:$B$64,"="&amp;Table2[[#This Row],[Tee time1]]),"")</f>
        <v/>
      </c>
      <c r="F195" s="4" t="str">
        <f>_xlfn.IFNA(VLOOKUP(Table2[[#This Row],[Tee time1]],'Classic day 1 - groups'!$A$3:$F$20,6,FALSE),"")</f>
        <v/>
      </c>
      <c r="G195" s="11" t="str">
        <f>_xlfn.IFNA(VLOOKUP(Table2[[#This Row],[Tee time1]],'Classic day 1 - groups'!$A$3:$F$20,4,FALSE),"")</f>
        <v/>
      </c>
      <c r="H195" s="12" t="str">
        <f>_xlfn.IFNA(VLOOKUP(Table2[[#This Row],[Tee time1]],'Classic day 1 - groups'!$A$3:$F$20,5,FALSE),"")</f>
        <v/>
      </c>
      <c r="I195" s="69" t="str">
        <f>IFERROR((MAX(starting_interval,IF(Table2[[#This Row],[gap1]]="NA",Table2[[#This Row],[avg gap]],Table2[[#This Row],[gap1]]))-starting_interval)*Table2[[#This Row],[followers1]]/Table2[[#This Row],[group size]],"")</f>
        <v/>
      </c>
      <c r="J195" s="32" t="str">
        <f>_xlfn.IFNA(VLOOKUP(Table2[[#This Row],[Name]],'Classic day 2 - players'!$A$2:$B$64,2,FALSE),"")</f>
        <v/>
      </c>
      <c r="K195" s="4" t="str">
        <f>IF(Table2[[#This Row],[tee time2]]&lt;&gt;"",COUNTIF('Classic day 2 - players'!$B$2:$B$64,"="&amp;Table2[[#This Row],[tee time2]]),"")</f>
        <v/>
      </c>
      <c r="L195" s="4" t="str">
        <f>_xlfn.IFNA(VLOOKUP(Table2[[#This Row],[tee time2]],'Classic day 2 - groups'!$A$3:$F$20,6,FALSE),"")</f>
        <v/>
      </c>
      <c r="M195" s="4" t="str">
        <f>_xlfn.IFNA(VLOOKUP(Table2[[#This Row],[tee time2]],'Classic day 2 - groups'!$A$3:$F$20,4,FALSE),"")</f>
        <v/>
      </c>
      <c r="N195" s="65" t="str">
        <f>_xlfn.IFNA(VLOOKUP(Table2[[#This Row],[tee time2]],'Classic day 2 - groups'!$A$3:$F$20,5,FALSE),"")</f>
        <v/>
      </c>
      <c r="O195" s="69" t="str">
        <f>IFERROR((MAX(starting_interval,IF(Table2[[#This Row],[gap2]]="NA",Table2[[#This Row],[avg gap]],Table2[[#This Row],[gap2]]))-starting_interval)*Table2[[#This Row],[followers2]]/Table2[[#This Row],[group size2]],"")</f>
        <v/>
      </c>
      <c r="P195" s="32" t="str">
        <f>_xlfn.IFNA(VLOOKUP(Table2[[#This Row],[Name]],'Summer FD - players'!$A$2:$B$65,2,FALSE),"")</f>
        <v/>
      </c>
      <c r="Q195" s="59" t="str">
        <f>IF(Table2[[#This Row],[tee time3]]&lt;&gt;"",COUNTIF('Summer FD - players'!$B$2:$B$65,"="&amp;Table2[[#This Row],[tee time3]]),"")</f>
        <v/>
      </c>
      <c r="R195" s="59" t="str">
        <f>_xlfn.IFNA(VLOOKUP(Table2[[#This Row],[tee time3]],'Summer FD - groups'!$A$3:$F$20,6,FALSE),"")</f>
        <v/>
      </c>
      <c r="S195" s="4" t="str">
        <f>_xlfn.IFNA(VLOOKUP(Table2[[#This Row],[tee time3]],'Summer FD - groups'!$A$3:$F$20,4,FALSE),"")</f>
        <v/>
      </c>
      <c r="T195" s="13" t="str">
        <f>_xlfn.IFNA(VLOOKUP(Table2[[#This Row],[tee time3]],'Summer FD - groups'!$A$3:$F$20,5,FALSE),"")</f>
        <v/>
      </c>
      <c r="U195" s="69" t="str">
        <f>IF(Table2[[#This Row],[avg gap]]&lt;&gt;"",IFERROR((MAX(starting_interval,IF(Table2[[#This Row],[gap3]]="NA",Table2[[#This Row],[avg gap]],Table2[[#This Row],[gap3]]))-starting_interval)*Table2[[#This Row],[followers3]]/Table2[[#This Row],[group size3]],""),"")</f>
        <v/>
      </c>
      <c r="V195" s="32" t="str">
        <f>_xlfn.IFNA(VLOOKUP(Table2[[#This Row],[Name]],'6-6-6 - players'!$A$2:$B$69,2,FALSE),"")</f>
        <v/>
      </c>
      <c r="W195" s="59" t="str">
        <f>IF(Table2[[#This Row],[tee time4]]&lt;&gt;"",COUNTIF('6-6-6 - players'!$B$2:$B$69,"="&amp;Table2[[#This Row],[tee time4]]),"")</f>
        <v/>
      </c>
      <c r="X195" s="59" t="str">
        <f>_xlfn.IFNA(VLOOKUP(Table2[[#This Row],[tee time4]],'6-6-6 - groups'!$A$3:$F$20,6,FALSE),"")</f>
        <v/>
      </c>
      <c r="Y195" s="4" t="str">
        <f>_xlfn.IFNA(VLOOKUP(Table2[[#This Row],[tee time4]],'6-6-6 - groups'!$A$3:$F$20,4,FALSE),"")</f>
        <v/>
      </c>
      <c r="Z195" s="13" t="str">
        <f>_xlfn.IFNA(VLOOKUP(Table2[[#This Row],[tee time4]],'6-6-6 - groups'!$A$3:$F$20,5,FALSE),"")</f>
        <v/>
      </c>
      <c r="AA195" s="69" t="str">
        <f>IF(Table2[[#This Row],[avg gap]]&lt;&gt;"",IFERROR((MAX(starting_interval,IF(Table2[[#This Row],[gap4]]="NA",Table2[[#This Row],[avg gap]],Table2[[#This Row],[gap4]]))-starting_interval)*Table2[[#This Row],[followers4]]/Table2[[#This Row],[group size4]],""),"")</f>
        <v/>
      </c>
      <c r="AB195" s="32" t="str">
        <f>_xlfn.IFNA(VLOOKUP(Table2[[#This Row],[Name]],'Fall FD - players'!$A$2:$B$65,2,FALSE),"")</f>
        <v/>
      </c>
      <c r="AC195" s="59" t="str">
        <f>IF(Table2[[#This Row],[tee time5]]&lt;&gt;"",COUNTIF('Fall FD - players'!$B$2:$B$65,"="&amp;Table2[[#This Row],[tee time5]]),"")</f>
        <v/>
      </c>
      <c r="AD195" s="59" t="str">
        <f>_xlfn.IFNA(VLOOKUP(Table2[[#This Row],[tee time5]],'Fall FD - groups'!$A$3:$F$20,6,FALSE),"")</f>
        <v/>
      </c>
      <c r="AE195" s="4" t="str">
        <f>_xlfn.IFNA(VLOOKUP(Table2[[#This Row],[tee time5]],'Fall FD - groups'!$A$3:$F$20,4,FALSE),"")</f>
        <v/>
      </c>
      <c r="AF195" s="13" t="str">
        <f>IFERROR(MIN(_xlfn.IFNA(VLOOKUP(Table2[[#This Row],[tee time5]],'Fall FD - groups'!$A$3:$F$20,5,FALSE),""),starting_interval + Table2[[#This Row],[round5]] - standard_round_time),"")</f>
        <v/>
      </c>
      <c r="AG195" s="69" t="str">
        <f>IF(AND(Table2[[#This Row],[gap5]]="NA",Table2[[#This Row],[round5]]&lt;4/24),0,IFERROR((MAX(starting_interval,IF(Table2[[#This Row],[gap5]]="NA",Table2[[#This Row],[avg gap]],Table2[[#This Row],[gap5]]))-starting_interval)*Table2[[#This Row],[followers5]]/Table2[[#This Row],[group size5]],""))</f>
        <v/>
      </c>
      <c r="AH195" s="32" t="str">
        <f>_xlfn.IFNA(VLOOKUP(Table2[[#This Row],[Name]],'Stableford - players'!$A$2:$B$65,2,FALSE),"")</f>
        <v/>
      </c>
      <c r="AI195" s="59" t="str">
        <f>IF(Table2[[#This Row],[tee time6]]&lt;&gt;"",COUNTIF('Stableford - players'!$B$2:$B$65,"="&amp;Table2[[#This Row],[tee time6]]),"")</f>
        <v/>
      </c>
      <c r="AJ195" s="59" t="str">
        <f>_xlfn.IFNA(VLOOKUP(Table2[[#This Row],[tee time6]],'Stableford - groups'!$A$3:$F$20,6,FALSE),"")</f>
        <v/>
      </c>
      <c r="AK195" s="11" t="str">
        <f>_xlfn.IFNA(VLOOKUP(Table2[[#This Row],[tee time6]],'Stableford - groups'!$A$3:$F$20,4,FALSE),"")</f>
        <v/>
      </c>
      <c r="AL195" s="13" t="str">
        <f>_xlfn.IFNA(VLOOKUP(Table2[[#This Row],[tee time6]],'Stableford - groups'!$A$3:$F$20,5,FALSE),"")</f>
        <v/>
      </c>
      <c r="AM195" s="68" t="str">
        <f>IF(AND(Table2[[#This Row],[gap6]]="NA",Table2[[#This Row],[round6]]&lt;4/24),0,IFERROR((MAX(starting_interval,IF(Table2[[#This Row],[gap6]]="NA",Table2[[#This Row],[avg gap]],Table2[[#This Row],[gap6]]))-starting_interval)*Table2[[#This Row],[followers6]]/Table2[[#This Row],[group size6]],""))</f>
        <v/>
      </c>
      <c r="AN195" s="32" t="str">
        <f>_xlfn.IFNA(VLOOKUP(Table2[[#This Row],[Name]],'Turkey Shoot - players'!$A$2:$B$65,2,FALSE),"")</f>
        <v/>
      </c>
      <c r="AO195" s="59" t="str">
        <f>IF(Table2[[#This Row],[tee time7]]&lt;&gt;"",COUNTIF('Turkey Shoot - players'!$B$2:$B$65,"="&amp;Table2[[#This Row],[tee time7]]),"")</f>
        <v/>
      </c>
      <c r="AP195" s="59" t="str">
        <f>_xlfn.IFNA(VLOOKUP(Table2[[#This Row],[tee time7]],'Stableford - groups'!$A$3:$F$20,6,FALSE),"")</f>
        <v/>
      </c>
      <c r="AQ195" s="11" t="str">
        <f>_xlfn.IFNA(VLOOKUP(Table2[[#This Row],[tee time7]],'Turkey Shoot - groups'!$A$3:$F$20,4,FALSE),"")</f>
        <v/>
      </c>
      <c r="AR195" s="13" t="str">
        <f>_xlfn.IFNA(VLOOKUP(Table2[[#This Row],[tee time7]],'Turkey Shoot - groups'!$A$3:$F$20,5,FALSE),"")</f>
        <v/>
      </c>
      <c r="AS195" s="68" t="str">
        <f>IF(AND(Table2[[#This Row],[gap7]]="NA",Table2[[#This Row],[round7]]&lt;4/24),0,IFERROR((MAX(starting_interval,IF(Table2[[#This Row],[gap7]]="NA",Table2[[#This Row],[avg gap]],Table2[[#This Row],[gap7]]))-starting_interval)*Table2[[#This Row],[followers7]]/Table2[[#This Row],[group size7]],""))</f>
        <v/>
      </c>
      <c r="AT195" s="72">
        <f>COUNT(Table2[[#This Row],[Tee time1]],Table2[[#This Row],[tee time2]],Table2[[#This Row],[tee time3]],Table2[[#This Row],[tee time4]],Table2[[#This Row],[tee time5]],Table2[[#This Row],[tee time6]],Table2[[#This Row],[tee time7]])</f>
        <v>0</v>
      </c>
      <c r="AU195" s="4" t="str">
        <f>IFERROR(AVERAGE(Table2[[#This Row],[Tee time1]],Table2[[#This Row],[tee time2]],Table2[[#This Row],[tee time3]],Table2[[#This Row],[tee time4]],Table2[[#This Row],[tee time5]],Table2[[#This Row],[tee time6]],Table2[[#This Row],[tee time7]]),"")</f>
        <v/>
      </c>
      <c r="AV195" s="11" t="str">
        <f>IFERROR(MEDIAN(Table2[[#This Row],[round1]],Table2[[#This Row],[Round2]],Table2[[#This Row],[round3]],Table2[[#This Row],[round4]],Table2[[#This Row],[round5]],Table2[[#This Row],[round6]],Table2[[#This Row],[round7]]),"")</f>
        <v/>
      </c>
      <c r="AW195" s="11" t="str">
        <f>IFERROR(AVERAGE(Table2[[#This Row],[gap1]],Table2[[#This Row],[gap2]],Table2[[#This Row],[gap3]],Table2[[#This Row],[gap4]],Table2[[#This Row],[gap5]],Table2[[#This Row],[gap6]],Table2[[#This Row],[gap7]]),"")</f>
        <v/>
      </c>
      <c r="AX195" s="9" t="str">
        <f>IFERROR((Table2[[#This Row],[avg gap]]-starting_interval)*24*60*Table2[[#This Row],[Count]],"NA")</f>
        <v>NA</v>
      </c>
      <c r="AY195"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95" s="2"/>
    </row>
    <row r="196" spans="1:52" hidden="1" x14ac:dyDescent="0.3">
      <c r="A196" s="10" t="s">
        <v>137</v>
      </c>
      <c r="B196" s="1" t="s">
        <v>378</v>
      </c>
      <c r="C196" s="19">
        <v>12</v>
      </c>
      <c r="D196" s="32" t="str">
        <f>_xlfn.IFNA(VLOOKUP(Table2[[#This Row],[Name]],'Classic day 1 - players'!$A$2:$B$64,2,FALSE),"")</f>
        <v/>
      </c>
      <c r="E196" s="33" t="str">
        <f>IF(Table2[[#This Row],[Tee time1]]&lt;&gt;"",COUNTIF('Classic day 1 - players'!$B$2:$B$64,"="&amp;Table2[[#This Row],[Tee time1]]),"")</f>
        <v/>
      </c>
      <c r="F196" s="4" t="str">
        <f>_xlfn.IFNA(VLOOKUP(Table2[[#This Row],[Tee time1]],'Classic day 1 - groups'!$A$3:$F$20,6,FALSE),"")</f>
        <v/>
      </c>
      <c r="G196" s="11" t="str">
        <f>_xlfn.IFNA(VLOOKUP(Table2[[#This Row],[Tee time1]],'Classic day 1 - groups'!$A$3:$F$20,4,FALSE),"")</f>
        <v/>
      </c>
      <c r="H196" s="12" t="str">
        <f>_xlfn.IFNA(VLOOKUP(Table2[[#This Row],[Tee time1]],'Classic day 1 - groups'!$A$3:$F$20,5,FALSE),"")</f>
        <v/>
      </c>
      <c r="I196" s="69" t="str">
        <f>IFERROR((MAX(starting_interval,IF(Table2[[#This Row],[gap1]]="NA",Table2[[#This Row],[avg gap]],Table2[[#This Row],[gap1]]))-starting_interval)*Table2[[#This Row],[followers1]]/Table2[[#This Row],[group size]],"")</f>
        <v/>
      </c>
      <c r="J196" s="32" t="str">
        <f>_xlfn.IFNA(VLOOKUP(Table2[[#This Row],[Name]],'Classic day 2 - players'!$A$2:$B$64,2,FALSE),"")</f>
        <v/>
      </c>
      <c r="K196" s="4" t="str">
        <f>IF(Table2[[#This Row],[tee time2]]&lt;&gt;"",COUNTIF('Classic day 2 - players'!$B$2:$B$64,"="&amp;Table2[[#This Row],[tee time2]]),"")</f>
        <v/>
      </c>
      <c r="L196" s="4" t="str">
        <f>_xlfn.IFNA(VLOOKUP(Table2[[#This Row],[tee time2]],'Classic day 2 - groups'!$A$3:$F$20,6,FALSE),"")</f>
        <v/>
      </c>
      <c r="M196" s="4" t="str">
        <f>_xlfn.IFNA(VLOOKUP(Table2[[#This Row],[tee time2]],'Classic day 2 - groups'!$A$3:$F$20,4,FALSE),"")</f>
        <v/>
      </c>
      <c r="N196" s="65" t="str">
        <f>_xlfn.IFNA(VLOOKUP(Table2[[#This Row],[tee time2]],'Classic day 2 - groups'!$A$3:$F$20,5,FALSE),"")</f>
        <v/>
      </c>
      <c r="O196" s="69" t="str">
        <f>IFERROR((MAX(starting_interval,IF(Table2[[#This Row],[gap2]]="NA",Table2[[#This Row],[avg gap]],Table2[[#This Row],[gap2]]))-starting_interval)*Table2[[#This Row],[followers2]]/Table2[[#This Row],[group size2]],"")</f>
        <v/>
      </c>
      <c r="P196" s="32" t="str">
        <f>_xlfn.IFNA(VLOOKUP(Table2[[#This Row],[Name]],'Summer FD - players'!$A$2:$B$65,2,FALSE),"")</f>
        <v/>
      </c>
      <c r="Q196" s="59" t="str">
        <f>IF(Table2[[#This Row],[tee time3]]&lt;&gt;"",COUNTIF('Summer FD - players'!$B$2:$B$65,"="&amp;Table2[[#This Row],[tee time3]]),"")</f>
        <v/>
      </c>
      <c r="R196" s="59" t="str">
        <f>_xlfn.IFNA(VLOOKUP(Table2[[#This Row],[tee time3]],'Summer FD - groups'!$A$3:$F$20,6,FALSE),"")</f>
        <v/>
      </c>
      <c r="S196" s="4" t="str">
        <f>_xlfn.IFNA(VLOOKUP(Table2[[#This Row],[tee time3]],'Summer FD - groups'!$A$3:$F$20,4,FALSE),"")</f>
        <v/>
      </c>
      <c r="T196" s="13" t="str">
        <f>_xlfn.IFNA(VLOOKUP(Table2[[#This Row],[tee time3]],'Summer FD - groups'!$A$3:$F$20,5,FALSE),"")</f>
        <v/>
      </c>
      <c r="U196" s="69" t="str">
        <f>IF(Table2[[#This Row],[avg gap]]&lt;&gt;"",IFERROR((MAX(starting_interval,IF(Table2[[#This Row],[gap3]]="NA",Table2[[#This Row],[avg gap]],Table2[[#This Row],[gap3]]))-starting_interval)*Table2[[#This Row],[followers3]]/Table2[[#This Row],[group size3]],""),"")</f>
        <v/>
      </c>
      <c r="V196" s="32" t="str">
        <f>_xlfn.IFNA(VLOOKUP(Table2[[#This Row],[Name]],'6-6-6 - players'!$A$2:$B$69,2,FALSE),"")</f>
        <v/>
      </c>
      <c r="W196" s="59" t="str">
        <f>IF(Table2[[#This Row],[tee time4]]&lt;&gt;"",COUNTIF('6-6-6 - players'!$B$2:$B$69,"="&amp;Table2[[#This Row],[tee time4]]),"")</f>
        <v/>
      </c>
      <c r="X196" s="59" t="str">
        <f>_xlfn.IFNA(VLOOKUP(Table2[[#This Row],[tee time4]],'6-6-6 - groups'!$A$3:$F$20,6,FALSE),"")</f>
        <v/>
      </c>
      <c r="Y196" s="4" t="str">
        <f>_xlfn.IFNA(VLOOKUP(Table2[[#This Row],[tee time4]],'6-6-6 - groups'!$A$3:$F$20,4,FALSE),"")</f>
        <v/>
      </c>
      <c r="Z196" s="13" t="str">
        <f>_xlfn.IFNA(VLOOKUP(Table2[[#This Row],[tee time4]],'6-6-6 - groups'!$A$3:$F$20,5,FALSE),"")</f>
        <v/>
      </c>
      <c r="AA196" s="69" t="str">
        <f>IF(Table2[[#This Row],[avg gap]]&lt;&gt;"",IFERROR((MAX(starting_interval,IF(Table2[[#This Row],[gap4]]="NA",Table2[[#This Row],[avg gap]],Table2[[#This Row],[gap4]]))-starting_interval)*Table2[[#This Row],[followers4]]/Table2[[#This Row],[group size4]],""),"")</f>
        <v/>
      </c>
      <c r="AB196" s="32" t="str">
        <f>_xlfn.IFNA(VLOOKUP(Table2[[#This Row],[Name]],'Fall FD - players'!$A$2:$B$65,2,FALSE),"")</f>
        <v/>
      </c>
      <c r="AC196" s="59" t="str">
        <f>IF(Table2[[#This Row],[tee time5]]&lt;&gt;"",COUNTIF('Fall FD - players'!$B$2:$B$65,"="&amp;Table2[[#This Row],[tee time5]]),"")</f>
        <v/>
      </c>
      <c r="AD196" s="59" t="str">
        <f>_xlfn.IFNA(VLOOKUP(Table2[[#This Row],[tee time5]],'Fall FD - groups'!$A$3:$F$20,6,FALSE),"")</f>
        <v/>
      </c>
      <c r="AE196" s="4" t="str">
        <f>_xlfn.IFNA(VLOOKUP(Table2[[#This Row],[tee time5]],'Fall FD - groups'!$A$3:$F$20,4,FALSE),"")</f>
        <v/>
      </c>
      <c r="AF196" s="13" t="str">
        <f>IFERROR(MIN(_xlfn.IFNA(VLOOKUP(Table2[[#This Row],[tee time5]],'Fall FD - groups'!$A$3:$F$20,5,FALSE),""),starting_interval + Table2[[#This Row],[round5]] - standard_round_time),"")</f>
        <v/>
      </c>
      <c r="AG196" s="69" t="str">
        <f>IF(AND(Table2[[#This Row],[gap5]]="NA",Table2[[#This Row],[round5]]&lt;4/24),0,IFERROR((MAX(starting_interval,IF(Table2[[#This Row],[gap5]]="NA",Table2[[#This Row],[avg gap]],Table2[[#This Row],[gap5]]))-starting_interval)*Table2[[#This Row],[followers5]]/Table2[[#This Row],[group size5]],""))</f>
        <v/>
      </c>
      <c r="AH196" s="32" t="str">
        <f>_xlfn.IFNA(VLOOKUP(Table2[[#This Row],[Name]],'Stableford - players'!$A$2:$B$65,2,FALSE),"")</f>
        <v/>
      </c>
      <c r="AI196" s="59" t="str">
        <f>IF(Table2[[#This Row],[tee time6]]&lt;&gt;"",COUNTIF('Stableford - players'!$B$2:$B$65,"="&amp;Table2[[#This Row],[tee time6]]),"")</f>
        <v/>
      </c>
      <c r="AJ196" s="59" t="str">
        <f>_xlfn.IFNA(VLOOKUP(Table2[[#This Row],[tee time6]],'Stableford - groups'!$A$3:$F$20,6,FALSE),"")</f>
        <v/>
      </c>
      <c r="AK196" s="11" t="str">
        <f>_xlfn.IFNA(VLOOKUP(Table2[[#This Row],[tee time6]],'Stableford - groups'!$A$3:$F$20,4,FALSE),"")</f>
        <v/>
      </c>
      <c r="AL196" s="13" t="str">
        <f>_xlfn.IFNA(VLOOKUP(Table2[[#This Row],[tee time6]],'Stableford - groups'!$A$3:$F$20,5,FALSE),"")</f>
        <v/>
      </c>
      <c r="AM196" s="68" t="str">
        <f>IF(AND(Table2[[#This Row],[gap6]]="NA",Table2[[#This Row],[round6]]&lt;4/24),0,IFERROR((MAX(starting_interval,IF(Table2[[#This Row],[gap6]]="NA",Table2[[#This Row],[avg gap]],Table2[[#This Row],[gap6]]))-starting_interval)*Table2[[#This Row],[followers6]]/Table2[[#This Row],[group size6]],""))</f>
        <v/>
      </c>
      <c r="AN196" s="32" t="str">
        <f>_xlfn.IFNA(VLOOKUP(Table2[[#This Row],[Name]],'Turkey Shoot - players'!$A$2:$B$65,2,FALSE),"")</f>
        <v/>
      </c>
      <c r="AO196" s="59" t="str">
        <f>IF(Table2[[#This Row],[tee time7]]&lt;&gt;"",COUNTIF('Turkey Shoot - players'!$B$2:$B$65,"="&amp;Table2[[#This Row],[tee time7]]),"")</f>
        <v/>
      </c>
      <c r="AP196" s="59" t="str">
        <f>_xlfn.IFNA(VLOOKUP(Table2[[#This Row],[tee time7]],'Stableford - groups'!$A$3:$F$20,6,FALSE),"")</f>
        <v/>
      </c>
      <c r="AQ196" s="11" t="str">
        <f>_xlfn.IFNA(VLOOKUP(Table2[[#This Row],[tee time7]],'Turkey Shoot - groups'!$A$3:$F$20,4,FALSE),"")</f>
        <v/>
      </c>
      <c r="AR196" s="13" t="str">
        <f>_xlfn.IFNA(VLOOKUP(Table2[[#This Row],[tee time7]],'Turkey Shoot - groups'!$A$3:$F$20,5,FALSE),"")</f>
        <v/>
      </c>
      <c r="AS196" s="68" t="str">
        <f>IF(AND(Table2[[#This Row],[gap7]]="NA",Table2[[#This Row],[round7]]&lt;4/24),0,IFERROR((MAX(starting_interval,IF(Table2[[#This Row],[gap7]]="NA",Table2[[#This Row],[avg gap]],Table2[[#This Row],[gap7]]))-starting_interval)*Table2[[#This Row],[followers7]]/Table2[[#This Row],[group size7]],""))</f>
        <v/>
      </c>
      <c r="AT196" s="72">
        <f>COUNT(Table2[[#This Row],[Tee time1]],Table2[[#This Row],[tee time2]],Table2[[#This Row],[tee time3]],Table2[[#This Row],[tee time4]],Table2[[#This Row],[tee time5]],Table2[[#This Row],[tee time6]],Table2[[#This Row],[tee time7]])</f>
        <v>0</v>
      </c>
      <c r="AU196" s="4" t="str">
        <f>IFERROR(AVERAGE(Table2[[#This Row],[Tee time1]],Table2[[#This Row],[tee time2]],Table2[[#This Row],[tee time3]],Table2[[#This Row],[tee time4]],Table2[[#This Row],[tee time5]],Table2[[#This Row],[tee time6]],Table2[[#This Row],[tee time7]]),"")</f>
        <v/>
      </c>
      <c r="AV196" s="11" t="str">
        <f>IFERROR(MEDIAN(Table2[[#This Row],[round1]],Table2[[#This Row],[Round2]],Table2[[#This Row],[round3]],Table2[[#This Row],[round4]],Table2[[#This Row],[round5]],Table2[[#This Row],[round6]],Table2[[#This Row],[round7]]),"")</f>
        <v/>
      </c>
      <c r="AW196" s="11" t="str">
        <f>IFERROR(AVERAGE(Table2[[#This Row],[gap1]],Table2[[#This Row],[gap2]],Table2[[#This Row],[gap3]],Table2[[#This Row],[gap4]],Table2[[#This Row],[gap5]],Table2[[#This Row],[gap6]],Table2[[#This Row],[gap7]]),"")</f>
        <v/>
      </c>
      <c r="AX196" s="9" t="str">
        <f>IFERROR((Table2[[#This Row],[avg gap]]-starting_interval)*24*60*Table2[[#This Row],[Count]],"NA")</f>
        <v>NA</v>
      </c>
      <c r="AY196"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96" s="2"/>
    </row>
    <row r="197" spans="1:52" hidden="1" x14ac:dyDescent="0.3">
      <c r="A197" s="10" t="s">
        <v>139</v>
      </c>
      <c r="B197" s="1" t="s">
        <v>380</v>
      </c>
      <c r="C197" s="19">
        <v>8.5</v>
      </c>
      <c r="D197" s="32" t="str">
        <f>_xlfn.IFNA(VLOOKUP(Table2[[#This Row],[Name]],'Classic day 1 - players'!$A$2:$B$64,2,FALSE),"")</f>
        <v/>
      </c>
      <c r="E197" s="33" t="str">
        <f>IF(Table2[[#This Row],[Tee time1]]&lt;&gt;"",COUNTIF('Classic day 1 - players'!$B$2:$B$64,"="&amp;Table2[[#This Row],[Tee time1]]),"")</f>
        <v/>
      </c>
      <c r="F197" s="4" t="str">
        <f>_xlfn.IFNA(VLOOKUP(Table2[[#This Row],[Tee time1]],'Classic day 1 - groups'!$A$3:$F$20,6,FALSE),"")</f>
        <v/>
      </c>
      <c r="G197" s="11" t="str">
        <f>_xlfn.IFNA(VLOOKUP(Table2[[#This Row],[Tee time1]],'Classic day 1 - groups'!$A$3:$F$20,4,FALSE),"")</f>
        <v/>
      </c>
      <c r="H197" s="12" t="str">
        <f>_xlfn.IFNA(VLOOKUP(Table2[[#This Row],[Tee time1]],'Classic day 1 - groups'!$A$3:$F$20,5,FALSE),"")</f>
        <v/>
      </c>
      <c r="I197" s="69" t="str">
        <f>IFERROR((MAX(starting_interval,IF(Table2[[#This Row],[gap1]]="NA",Table2[[#This Row],[avg gap]],Table2[[#This Row],[gap1]]))-starting_interval)*Table2[[#This Row],[followers1]]/Table2[[#This Row],[group size]],"")</f>
        <v/>
      </c>
      <c r="J197" s="32" t="str">
        <f>_xlfn.IFNA(VLOOKUP(Table2[[#This Row],[Name]],'Classic day 2 - players'!$A$2:$B$64,2,FALSE),"")</f>
        <v/>
      </c>
      <c r="K197" s="4" t="str">
        <f>IF(Table2[[#This Row],[tee time2]]&lt;&gt;"",COUNTIF('Classic day 2 - players'!$B$2:$B$64,"="&amp;Table2[[#This Row],[tee time2]]),"")</f>
        <v/>
      </c>
      <c r="L197" s="4" t="str">
        <f>_xlfn.IFNA(VLOOKUP(Table2[[#This Row],[tee time2]],'Classic day 2 - groups'!$A$3:$F$20,6,FALSE),"")</f>
        <v/>
      </c>
      <c r="M197" s="4" t="str">
        <f>_xlfn.IFNA(VLOOKUP(Table2[[#This Row],[tee time2]],'Classic day 2 - groups'!$A$3:$F$20,4,FALSE),"")</f>
        <v/>
      </c>
      <c r="N197" s="65" t="str">
        <f>_xlfn.IFNA(VLOOKUP(Table2[[#This Row],[tee time2]],'Classic day 2 - groups'!$A$3:$F$20,5,FALSE),"")</f>
        <v/>
      </c>
      <c r="O197" s="69" t="str">
        <f>IFERROR((MAX(starting_interval,IF(Table2[[#This Row],[gap2]]="NA",Table2[[#This Row],[avg gap]],Table2[[#This Row],[gap2]]))-starting_interval)*Table2[[#This Row],[followers2]]/Table2[[#This Row],[group size2]],"")</f>
        <v/>
      </c>
      <c r="P197" s="32" t="str">
        <f>_xlfn.IFNA(VLOOKUP(Table2[[#This Row],[Name]],'Summer FD - players'!$A$2:$B$65,2,FALSE),"")</f>
        <v/>
      </c>
      <c r="Q197" s="59" t="str">
        <f>IF(Table2[[#This Row],[tee time3]]&lt;&gt;"",COUNTIF('Summer FD - players'!$B$2:$B$65,"="&amp;Table2[[#This Row],[tee time3]]),"")</f>
        <v/>
      </c>
      <c r="R197" s="59" t="str">
        <f>_xlfn.IFNA(VLOOKUP(Table2[[#This Row],[tee time3]],'Summer FD - groups'!$A$3:$F$20,6,FALSE),"")</f>
        <v/>
      </c>
      <c r="S197" s="4" t="str">
        <f>_xlfn.IFNA(VLOOKUP(Table2[[#This Row],[tee time3]],'Summer FD - groups'!$A$3:$F$20,4,FALSE),"")</f>
        <v/>
      </c>
      <c r="T197" s="13" t="str">
        <f>_xlfn.IFNA(VLOOKUP(Table2[[#This Row],[tee time3]],'Summer FD - groups'!$A$3:$F$20,5,FALSE),"")</f>
        <v/>
      </c>
      <c r="U197" s="69" t="str">
        <f>IF(Table2[[#This Row],[avg gap]]&lt;&gt;"",IFERROR((MAX(starting_interval,IF(Table2[[#This Row],[gap3]]="NA",Table2[[#This Row],[avg gap]],Table2[[#This Row],[gap3]]))-starting_interval)*Table2[[#This Row],[followers3]]/Table2[[#This Row],[group size3]],""),"")</f>
        <v/>
      </c>
      <c r="V197" s="32" t="str">
        <f>_xlfn.IFNA(VLOOKUP(Table2[[#This Row],[Name]],'6-6-6 - players'!$A$2:$B$69,2,FALSE),"")</f>
        <v/>
      </c>
      <c r="W197" s="59" t="str">
        <f>IF(Table2[[#This Row],[tee time4]]&lt;&gt;"",COUNTIF('6-6-6 - players'!$B$2:$B$69,"="&amp;Table2[[#This Row],[tee time4]]),"")</f>
        <v/>
      </c>
      <c r="X197" s="59" t="str">
        <f>_xlfn.IFNA(VLOOKUP(Table2[[#This Row],[tee time4]],'6-6-6 - groups'!$A$3:$F$20,6,FALSE),"")</f>
        <v/>
      </c>
      <c r="Y197" s="4" t="str">
        <f>_xlfn.IFNA(VLOOKUP(Table2[[#This Row],[tee time4]],'6-6-6 - groups'!$A$3:$F$20,4,FALSE),"")</f>
        <v/>
      </c>
      <c r="Z197" s="13" t="str">
        <f>_xlfn.IFNA(VLOOKUP(Table2[[#This Row],[tee time4]],'6-6-6 - groups'!$A$3:$F$20,5,FALSE),"")</f>
        <v/>
      </c>
      <c r="AA197" s="69" t="str">
        <f>IF(Table2[[#This Row],[avg gap]]&lt;&gt;"",IFERROR((MAX(starting_interval,IF(Table2[[#This Row],[gap4]]="NA",Table2[[#This Row],[avg gap]],Table2[[#This Row],[gap4]]))-starting_interval)*Table2[[#This Row],[followers4]]/Table2[[#This Row],[group size4]],""),"")</f>
        <v/>
      </c>
      <c r="AB197" s="32" t="str">
        <f>_xlfn.IFNA(VLOOKUP(Table2[[#This Row],[Name]],'Fall FD - players'!$A$2:$B$65,2,FALSE),"")</f>
        <v/>
      </c>
      <c r="AC197" s="59" t="str">
        <f>IF(Table2[[#This Row],[tee time5]]&lt;&gt;"",COUNTIF('Fall FD - players'!$B$2:$B$65,"="&amp;Table2[[#This Row],[tee time5]]),"")</f>
        <v/>
      </c>
      <c r="AD197" s="59" t="str">
        <f>_xlfn.IFNA(VLOOKUP(Table2[[#This Row],[tee time5]],'Fall FD - groups'!$A$3:$F$20,6,FALSE),"")</f>
        <v/>
      </c>
      <c r="AE197" s="4" t="str">
        <f>_xlfn.IFNA(VLOOKUP(Table2[[#This Row],[tee time5]],'Fall FD - groups'!$A$3:$F$20,4,FALSE),"")</f>
        <v/>
      </c>
      <c r="AF197" s="13" t="str">
        <f>IFERROR(MIN(_xlfn.IFNA(VLOOKUP(Table2[[#This Row],[tee time5]],'Fall FD - groups'!$A$3:$F$20,5,FALSE),""),starting_interval + Table2[[#This Row],[round5]] - standard_round_time),"")</f>
        <v/>
      </c>
      <c r="AG197" s="69" t="str">
        <f>IF(AND(Table2[[#This Row],[gap5]]="NA",Table2[[#This Row],[round5]]&lt;4/24),0,IFERROR((MAX(starting_interval,IF(Table2[[#This Row],[gap5]]="NA",Table2[[#This Row],[avg gap]],Table2[[#This Row],[gap5]]))-starting_interval)*Table2[[#This Row],[followers5]]/Table2[[#This Row],[group size5]],""))</f>
        <v/>
      </c>
      <c r="AH197" s="32" t="str">
        <f>_xlfn.IFNA(VLOOKUP(Table2[[#This Row],[Name]],'Stableford - players'!$A$2:$B$65,2,FALSE),"")</f>
        <v/>
      </c>
      <c r="AI197" s="59" t="str">
        <f>IF(Table2[[#This Row],[tee time6]]&lt;&gt;"",COUNTIF('Stableford - players'!$B$2:$B$65,"="&amp;Table2[[#This Row],[tee time6]]),"")</f>
        <v/>
      </c>
      <c r="AJ197" s="59" t="str">
        <f>_xlfn.IFNA(VLOOKUP(Table2[[#This Row],[tee time6]],'Stableford - groups'!$A$3:$F$20,6,FALSE),"")</f>
        <v/>
      </c>
      <c r="AK197" s="11" t="str">
        <f>_xlfn.IFNA(VLOOKUP(Table2[[#This Row],[tee time6]],'Stableford - groups'!$A$3:$F$20,4,FALSE),"")</f>
        <v/>
      </c>
      <c r="AL197" s="13" t="str">
        <f>_xlfn.IFNA(VLOOKUP(Table2[[#This Row],[tee time6]],'Stableford - groups'!$A$3:$F$20,5,FALSE),"")</f>
        <v/>
      </c>
      <c r="AM197" s="68" t="str">
        <f>IF(AND(Table2[[#This Row],[gap6]]="NA",Table2[[#This Row],[round6]]&lt;4/24),0,IFERROR((MAX(starting_interval,IF(Table2[[#This Row],[gap6]]="NA",Table2[[#This Row],[avg gap]],Table2[[#This Row],[gap6]]))-starting_interval)*Table2[[#This Row],[followers6]]/Table2[[#This Row],[group size6]],""))</f>
        <v/>
      </c>
      <c r="AN197" s="32" t="str">
        <f>_xlfn.IFNA(VLOOKUP(Table2[[#This Row],[Name]],'Turkey Shoot - players'!$A$2:$B$65,2,FALSE),"")</f>
        <v/>
      </c>
      <c r="AO197" s="59" t="str">
        <f>IF(Table2[[#This Row],[tee time7]]&lt;&gt;"",COUNTIF('Turkey Shoot - players'!$B$2:$B$65,"="&amp;Table2[[#This Row],[tee time7]]),"")</f>
        <v/>
      </c>
      <c r="AP197" s="59" t="str">
        <f>_xlfn.IFNA(VLOOKUP(Table2[[#This Row],[tee time7]],'Stableford - groups'!$A$3:$F$20,6,FALSE),"")</f>
        <v/>
      </c>
      <c r="AQ197" s="11" t="str">
        <f>_xlfn.IFNA(VLOOKUP(Table2[[#This Row],[tee time7]],'Turkey Shoot - groups'!$A$3:$F$20,4,FALSE),"")</f>
        <v/>
      </c>
      <c r="AR197" s="13" t="str">
        <f>_xlfn.IFNA(VLOOKUP(Table2[[#This Row],[tee time7]],'Turkey Shoot - groups'!$A$3:$F$20,5,FALSE),"")</f>
        <v/>
      </c>
      <c r="AS197" s="68" t="str">
        <f>IF(AND(Table2[[#This Row],[gap7]]="NA",Table2[[#This Row],[round7]]&lt;4/24),0,IFERROR((MAX(starting_interval,IF(Table2[[#This Row],[gap7]]="NA",Table2[[#This Row],[avg gap]],Table2[[#This Row],[gap7]]))-starting_interval)*Table2[[#This Row],[followers7]]/Table2[[#This Row],[group size7]],""))</f>
        <v/>
      </c>
      <c r="AT197" s="72">
        <f>COUNT(Table2[[#This Row],[Tee time1]],Table2[[#This Row],[tee time2]],Table2[[#This Row],[tee time3]],Table2[[#This Row],[tee time4]],Table2[[#This Row],[tee time5]],Table2[[#This Row],[tee time6]],Table2[[#This Row],[tee time7]])</f>
        <v>0</v>
      </c>
      <c r="AU197" s="4" t="str">
        <f>IFERROR(AVERAGE(Table2[[#This Row],[Tee time1]],Table2[[#This Row],[tee time2]],Table2[[#This Row],[tee time3]],Table2[[#This Row],[tee time4]],Table2[[#This Row],[tee time5]],Table2[[#This Row],[tee time6]],Table2[[#This Row],[tee time7]]),"")</f>
        <v/>
      </c>
      <c r="AV197" s="11" t="str">
        <f>IFERROR(MEDIAN(Table2[[#This Row],[round1]],Table2[[#This Row],[Round2]],Table2[[#This Row],[round3]],Table2[[#This Row],[round4]],Table2[[#This Row],[round5]],Table2[[#This Row],[round6]],Table2[[#This Row],[round7]]),"")</f>
        <v/>
      </c>
      <c r="AW197" s="11" t="str">
        <f>IFERROR(AVERAGE(Table2[[#This Row],[gap1]],Table2[[#This Row],[gap2]],Table2[[#This Row],[gap3]],Table2[[#This Row],[gap4]],Table2[[#This Row],[gap5]],Table2[[#This Row],[gap6]],Table2[[#This Row],[gap7]]),"")</f>
        <v/>
      </c>
      <c r="AX197" s="9" t="str">
        <f>IFERROR((Table2[[#This Row],[avg gap]]-starting_interval)*24*60*Table2[[#This Row],[Count]],"NA")</f>
        <v>NA</v>
      </c>
      <c r="AY197"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97" s="2"/>
    </row>
    <row r="198" spans="1:52" hidden="1" x14ac:dyDescent="0.3">
      <c r="A198" s="10" t="s">
        <v>140</v>
      </c>
      <c r="B198" s="1" t="s">
        <v>381</v>
      </c>
      <c r="C198" s="19">
        <v>15.5</v>
      </c>
      <c r="D198" s="32" t="str">
        <f>_xlfn.IFNA(VLOOKUP(Table2[[#This Row],[Name]],'Classic day 1 - players'!$A$2:$B$64,2,FALSE),"")</f>
        <v/>
      </c>
      <c r="E198" s="33" t="str">
        <f>IF(Table2[[#This Row],[Tee time1]]&lt;&gt;"",COUNTIF('Classic day 1 - players'!$B$2:$B$64,"="&amp;Table2[[#This Row],[Tee time1]]),"")</f>
        <v/>
      </c>
      <c r="F198" s="4" t="str">
        <f>_xlfn.IFNA(VLOOKUP(Table2[[#This Row],[Tee time1]],'Classic day 1 - groups'!$A$3:$F$20,6,FALSE),"")</f>
        <v/>
      </c>
      <c r="G198" s="11" t="str">
        <f>_xlfn.IFNA(VLOOKUP(Table2[[#This Row],[Tee time1]],'Classic day 1 - groups'!$A$3:$F$20,4,FALSE),"")</f>
        <v/>
      </c>
      <c r="H198" s="12" t="str">
        <f>_xlfn.IFNA(VLOOKUP(Table2[[#This Row],[Tee time1]],'Classic day 1 - groups'!$A$3:$F$20,5,FALSE),"")</f>
        <v/>
      </c>
      <c r="I198" s="69" t="str">
        <f>IFERROR((MAX(starting_interval,IF(Table2[[#This Row],[gap1]]="NA",Table2[[#This Row],[avg gap]],Table2[[#This Row],[gap1]]))-starting_interval)*Table2[[#This Row],[followers1]]/Table2[[#This Row],[group size]],"")</f>
        <v/>
      </c>
      <c r="J198" s="32" t="str">
        <f>_xlfn.IFNA(VLOOKUP(Table2[[#This Row],[Name]],'Classic day 2 - players'!$A$2:$B$64,2,FALSE),"")</f>
        <v/>
      </c>
      <c r="K198" s="4" t="str">
        <f>IF(Table2[[#This Row],[tee time2]]&lt;&gt;"",COUNTIF('Classic day 2 - players'!$B$2:$B$64,"="&amp;Table2[[#This Row],[tee time2]]),"")</f>
        <v/>
      </c>
      <c r="L198" s="4" t="str">
        <f>_xlfn.IFNA(VLOOKUP(Table2[[#This Row],[tee time2]],'Classic day 2 - groups'!$A$3:$F$20,6,FALSE),"")</f>
        <v/>
      </c>
      <c r="M198" s="4" t="str">
        <f>_xlfn.IFNA(VLOOKUP(Table2[[#This Row],[tee time2]],'Classic day 2 - groups'!$A$3:$F$20,4,FALSE),"")</f>
        <v/>
      </c>
      <c r="N198" s="65" t="str">
        <f>_xlfn.IFNA(VLOOKUP(Table2[[#This Row],[tee time2]],'Classic day 2 - groups'!$A$3:$F$20,5,FALSE),"")</f>
        <v/>
      </c>
      <c r="O198" s="69" t="str">
        <f>IFERROR((MAX(starting_interval,IF(Table2[[#This Row],[gap2]]="NA",Table2[[#This Row],[avg gap]],Table2[[#This Row],[gap2]]))-starting_interval)*Table2[[#This Row],[followers2]]/Table2[[#This Row],[group size2]],"")</f>
        <v/>
      </c>
      <c r="P198" s="32" t="str">
        <f>_xlfn.IFNA(VLOOKUP(Table2[[#This Row],[Name]],'Summer FD - players'!$A$2:$B$65,2,FALSE),"")</f>
        <v/>
      </c>
      <c r="Q198" s="59" t="str">
        <f>IF(Table2[[#This Row],[tee time3]]&lt;&gt;"",COUNTIF('Summer FD - players'!$B$2:$B$65,"="&amp;Table2[[#This Row],[tee time3]]),"")</f>
        <v/>
      </c>
      <c r="R198" s="59" t="str">
        <f>_xlfn.IFNA(VLOOKUP(Table2[[#This Row],[tee time3]],'Summer FD - groups'!$A$3:$F$20,6,FALSE),"")</f>
        <v/>
      </c>
      <c r="S198" s="4" t="str">
        <f>_xlfn.IFNA(VLOOKUP(Table2[[#This Row],[tee time3]],'Summer FD - groups'!$A$3:$F$20,4,FALSE),"")</f>
        <v/>
      </c>
      <c r="T198" s="13" t="str">
        <f>_xlfn.IFNA(VLOOKUP(Table2[[#This Row],[tee time3]],'Summer FD - groups'!$A$3:$F$20,5,FALSE),"")</f>
        <v/>
      </c>
      <c r="U198" s="69" t="str">
        <f>IF(Table2[[#This Row],[avg gap]]&lt;&gt;"",IFERROR((MAX(starting_interval,IF(Table2[[#This Row],[gap3]]="NA",Table2[[#This Row],[avg gap]],Table2[[#This Row],[gap3]]))-starting_interval)*Table2[[#This Row],[followers3]]/Table2[[#This Row],[group size3]],""),"")</f>
        <v/>
      </c>
      <c r="V198" s="32" t="str">
        <f>_xlfn.IFNA(VLOOKUP(Table2[[#This Row],[Name]],'6-6-6 - players'!$A$2:$B$69,2,FALSE),"")</f>
        <v/>
      </c>
      <c r="W198" s="59" t="str">
        <f>IF(Table2[[#This Row],[tee time4]]&lt;&gt;"",COUNTIF('6-6-6 - players'!$B$2:$B$69,"="&amp;Table2[[#This Row],[tee time4]]),"")</f>
        <v/>
      </c>
      <c r="X198" s="59" t="str">
        <f>_xlfn.IFNA(VLOOKUP(Table2[[#This Row],[tee time4]],'6-6-6 - groups'!$A$3:$F$20,6,FALSE),"")</f>
        <v/>
      </c>
      <c r="Y198" s="4" t="str">
        <f>_xlfn.IFNA(VLOOKUP(Table2[[#This Row],[tee time4]],'6-6-6 - groups'!$A$3:$F$20,4,FALSE),"")</f>
        <v/>
      </c>
      <c r="Z198" s="13" t="str">
        <f>_xlfn.IFNA(VLOOKUP(Table2[[#This Row],[tee time4]],'6-6-6 - groups'!$A$3:$F$20,5,FALSE),"")</f>
        <v/>
      </c>
      <c r="AA198" s="69" t="str">
        <f>IF(Table2[[#This Row],[avg gap]]&lt;&gt;"",IFERROR((MAX(starting_interval,IF(Table2[[#This Row],[gap4]]="NA",Table2[[#This Row],[avg gap]],Table2[[#This Row],[gap4]]))-starting_interval)*Table2[[#This Row],[followers4]]/Table2[[#This Row],[group size4]],""),"")</f>
        <v/>
      </c>
      <c r="AB198" s="32" t="str">
        <f>_xlfn.IFNA(VLOOKUP(Table2[[#This Row],[Name]],'Fall FD - players'!$A$2:$B$65,2,FALSE),"")</f>
        <v/>
      </c>
      <c r="AC198" s="59" t="str">
        <f>IF(Table2[[#This Row],[tee time5]]&lt;&gt;"",COUNTIF('Fall FD - players'!$B$2:$B$65,"="&amp;Table2[[#This Row],[tee time5]]),"")</f>
        <v/>
      </c>
      <c r="AD198" s="59" t="str">
        <f>_xlfn.IFNA(VLOOKUP(Table2[[#This Row],[tee time5]],'Fall FD - groups'!$A$3:$F$20,6,FALSE),"")</f>
        <v/>
      </c>
      <c r="AE198" s="4" t="str">
        <f>_xlfn.IFNA(VLOOKUP(Table2[[#This Row],[tee time5]],'Fall FD - groups'!$A$3:$F$20,4,FALSE),"")</f>
        <v/>
      </c>
      <c r="AF198" s="13" t="str">
        <f>IFERROR(MIN(_xlfn.IFNA(VLOOKUP(Table2[[#This Row],[tee time5]],'Fall FD - groups'!$A$3:$F$20,5,FALSE),""),starting_interval + Table2[[#This Row],[round5]] - standard_round_time),"")</f>
        <v/>
      </c>
      <c r="AG198" s="69" t="str">
        <f>IF(AND(Table2[[#This Row],[gap5]]="NA",Table2[[#This Row],[round5]]&lt;4/24),0,IFERROR((MAX(starting_interval,IF(Table2[[#This Row],[gap5]]="NA",Table2[[#This Row],[avg gap]],Table2[[#This Row],[gap5]]))-starting_interval)*Table2[[#This Row],[followers5]]/Table2[[#This Row],[group size5]],""))</f>
        <v/>
      </c>
      <c r="AH198" s="32" t="str">
        <f>_xlfn.IFNA(VLOOKUP(Table2[[#This Row],[Name]],'Stableford - players'!$A$2:$B$65,2,FALSE),"")</f>
        <v/>
      </c>
      <c r="AI198" s="59" t="str">
        <f>IF(Table2[[#This Row],[tee time6]]&lt;&gt;"",COUNTIF('Stableford - players'!$B$2:$B$65,"="&amp;Table2[[#This Row],[tee time6]]),"")</f>
        <v/>
      </c>
      <c r="AJ198" s="59" t="str">
        <f>_xlfn.IFNA(VLOOKUP(Table2[[#This Row],[tee time6]],'Stableford - groups'!$A$3:$F$20,6,FALSE),"")</f>
        <v/>
      </c>
      <c r="AK198" s="11" t="str">
        <f>_xlfn.IFNA(VLOOKUP(Table2[[#This Row],[tee time6]],'Stableford - groups'!$A$3:$F$20,4,FALSE),"")</f>
        <v/>
      </c>
      <c r="AL198" s="13" t="str">
        <f>_xlfn.IFNA(VLOOKUP(Table2[[#This Row],[tee time6]],'Stableford - groups'!$A$3:$F$20,5,FALSE),"")</f>
        <v/>
      </c>
      <c r="AM198" s="68" t="str">
        <f>IF(AND(Table2[[#This Row],[gap6]]="NA",Table2[[#This Row],[round6]]&lt;4/24),0,IFERROR((MAX(starting_interval,IF(Table2[[#This Row],[gap6]]="NA",Table2[[#This Row],[avg gap]],Table2[[#This Row],[gap6]]))-starting_interval)*Table2[[#This Row],[followers6]]/Table2[[#This Row],[group size6]],""))</f>
        <v/>
      </c>
      <c r="AN198" s="32" t="str">
        <f>_xlfn.IFNA(VLOOKUP(Table2[[#This Row],[Name]],'Turkey Shoot - players'!$A$2:$B$65,2,FALSE),"")</f>
        <v/>
      </c>
      <c r="AO198" s="59" t="str">
        <f>IF(Table2[[#This Row],[tee time7]]&lt;&gt;"",COUNTIF('Turkey Shoot - players'!$B$2:$B$65,"="&amp;Table2[[#This Row],[tee time7]]),"")</f>
        <v/>
      </c>
      <c r="AP198" s="59" t="str">
        <f>_xlfn.IFNA(VLOOKUP(Table2[[#This Row],[tee time7]],'Stableford - groups'!$A$3:$F$20,6,FALSE),"")</f>
        <v/>
      </c>
      <c r="AQ198" s="11" t="str">
        <f>_xlfn.IFNA(VLOOKUP(Table2[[#This Row],[tee time7]],'Turkey Shoot - groups'!$A$3:$F$20,4,FALSE),"")</f>
        <v/>
      </c>
      <c r="AR198" s="13" t="str">
        <f>_xlfn.IFNA(VLOOKUP(Table2[[#This Row],[tee time7]],'Turkey Shoot - groups'!$A$3:$F$20,5,FALSE),"")</f>
        <v/>
      </c>
      <c r="AS198" s="68" t="str">
        <f>IF(AND(Table2[[#This Row],[gap7]]="NA",Table2[[#This Row],[round7]]&lt;4/24),0,IFERROR((MAX(starting_interval,IF(Table2[[#This Row],[gap7]]="NA",Table2[[#This Row],[avg gap]],Table2[[#This Row],[gap7]]))-starting_interval)*Table2[[#This Row],[followers7]]/Table2[[#This Row],[group size7]],""))</f>
        <v/>
      </c>
      <c r="AT198" s="72">
        <f>COUNT(Table2[[#This Row],[Tee time1]],Table2[[#This Row],[tee time2]],Table2[[#This Row],[tee time3]],Table2[[#This Row],[tee time4]],Table2[[#This Row],[tee time5]],Table2[[#This Row],[tee time6]],Table2[[#This Row],[tee time7]])</f>
        <v>0</v>
      </c>
      <c r="AU198" s="4" t="str">
        <f>IFERROR(AVERAGE(Table2[[#This Row],[Tee time1]],Table2[[#This Row],[tee time2]],Table2[[#This Row],[tee time3]],Table2[[#This Row],[tee time4]],Table2[[#This Row],[tee time5]],Table2[[#This Row],[tee time6]],Table2[[#This Row],[tee time7]]),"")</f>
        <v/>
      </c>
      <c r="AV198" s="11" t="str">
        <f>IFERROR(MEDIAN(Table2[[#This Row],[round1]],Table2[[#This Row],[Round2]],Table2[[#This Row],[round3]],Table2[[#This Row],[round4]],Table2[[#This Row],[round5]],Table2[[#This Row],[round6]],Table2[[#This Row],[round7]]),"")</f>
        <v/>
      </c>
      <c r="AW198" s="11" t="str">
        <f>IFERROR(AVERAGE(Table2[[#This Row],[gap1]],Table2[[#This Row],[gap2]],Table2[[#This Row],[gap3]],Table2[[#This Row],[gap4]],Table2[[#This Row],[gap5]],Table2[[#This Row],[gap6]],Table2[[#This Row],[gap7]]),"")</f>
        <v/>
      </c>
      <c r="AX198" s="9" t="str">
        <f>IFERROR((Table2[[#This Row],[avg gap]]-starting_interval)*24*60*Table2[[#This Row],[Count]],"NA")</f>
        <v>NA</v>
      </c>
      <c r="AY198"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198" s="2"/>
    </row>
    <row r="199" spans="1:52" x14ac:dyDescent="0.3">
      <c r="A199" s="10" t="s">
        <v>164</v>
      </c>
      <c r="B199" s="1" t="s">
        <v>405</v>
      </c>
      <c r="C199" s="19">
        <v>25.2</v>
      </c>
      <c r="D199" s="32">
        <f>_xlfn.IFNA(VLOOKUP(Table2[[#This Row],[Name]],'Classic day 1 - players'!$A$2:$B$64,2,FALSE),"")</f>
        <v>0.4145833333333333</v>
      </c>
      <c r="E199" s="33">
        <f>IF(Table2[[#This Row],[Tee time1]]&lt;&gt;"",COUNTIF('Classic day 1 - players'!$B$2:$B$64,"="&amp;Table2[[#This Row],[Tee time1]]),"")</f>
        <v>3</v>
      </c>
      <c r="F199" s="33">
        <f>_xlfn.IFNA(VLOOKUP(Table2[[#This Row],[Tee time1]],'Classic day 1 - groups'!$A$3:$F$20,6,FALSE),"")</f>
        <v>16</v>
      </c>
      <c r="G199" s="11">
        <f>_xlfn.IFNA(VLOOKUP(Table2[[#This Row],[Tee time1]],'Classic day 1 - groups'!$A$3:$F$20,4,FALSE),"")</f>
        <v>0.19861111111111113</v>
      </c>
      <c r="H199" s="12">
        <f>_xlfn.IFNA(VLOOKUP(Table2[[#This Row],[Tee time1]],'Classic day 1 - groups'!$A$3:$F$20,5,FALSE),"")</f>
        <v>3.4722222222222099E-3</v>
      </c>
      <c r="I199" s="69">
        <f>IFERROR((MAX(starting_interval,IF(Table2[[#This Row],[gap1]]="NA",Table2[[#This Row],[avg gap]],Table2[[#This Row],[gap1]]))-starting_interval)*Table2[[#This Row],[followers1]]/Table2[[#This Row],[group size]],"")</f>
        <v>0</v>
      </c>
      <c r="J199" s="32">
        <f>_xlfn.IFNA(VLOOKUP(Table2[[#This Row],[Name]],'Classic day 2 - players'!$A$2:$B$64,2,FALSE),"")</f>
        <v>0.33333333333333331</v>
      </c>
      <c r="K199" s="33">
        <f>IF(Table2[[#This Row],[tee time2]]&lt;&gt;"",COUNTIF('Classic day 2 - players'!$B$2:$B$64,"="&amp;Table2[[#This Row],[tee time2]]),"")</f>
        <v>4</v>
      </c>
      <c r="L199" s="33">
        <f>_xlfn.IFNA(VLOOKUP(Table2[[#This Row],[tee time2]],'Classic day 2 - groups'!$A$3:$F$20,6,FALSE),"")</f>
        <v>52</v>
      </c>
      <c r="M199" s="4">
        <f>_xlfn.IFNA(VLOOKUP(Table2[[#This Row],[tee time2]],'Classic day 2 - groups'!$A$3:$F$20,4,FALSE),"")</f>
        <v>0.16805555555555554</v>
      </c>
      <c r="N199" s="65" t="str">
        <f>_xlfn.IFNA(VLOOKUP(Table2[[#This Row],[tee time2]],'Classic day 2 - groups'!$A$3:$F$20,5,FALSE),"")</f>
        <v>NA</v>
      </c>
      <c r="O199" s="69">
        <f>IFERROR((MAX(starting_interval,IF(Table2[[#This Row],[gap2]]="NA",Table2[[#This Row],[avg gap]],Table2[[#This Row],[gap2]]))-starting_interval)*Table2[[#This Row],[followers2]]/Table2[[#This Row],[group size2]],"")</f>
        <v>0</v>
      </c>
      <c r="P199" s="32" t="str">
        <f>_xlfn.IFNA(VLOOKUP(Table2[[#This Row],[Name]],'Summer FD - players'!$A$2:$B$65,2,FALSE),"")</f>
        <v/>
      </c>
      <c r="Q199" s="59" t="str">
        <f>IF(Table2[[#This Row],[tee time3]]&lt;&gt;"",COUNTIF('Summer FD - players'!$B$2:$B$65,"="&amp;Table2[[#This Row],[tee time3]]),"")</f>
        <v/>
      </c>
      <c r="R199" s="59" t="str">
        <f>_xlfn.IFNA(VLOOKUP(Table2[[#This Row],[tee time3]],'Summer FD - groups'!$A$3:$F$20,6,FALSE),"")</f>
        <v/>
      </c>
      <c r="S199" s="4" t="str">
        <f>_xlfn.IFNA(VLOOKUP(Table2[[#This Row],[tee time3]],'Summer FD - groups'!$A$3:$F$20,4,FALSE),"")</f>
        <v/>
      </c>
      <c r="T199" s="13" t="str">
        <f>_xlfn.IFNA(VLOOKUP(Table2[[#This Row],[tee time3]],'Summer FD - groups'!$A$3:$F$20,5,FALSE),"")</f>
        <v/>
      </c>
      <c r="U199" s="69" t="str">
        <f>IF(Table2[[#This Row],[avg gap]]&lt;&gt;"",IFERROR((MAX(starting_interval,IF(Table2[[#This Row],[gap3]]="NA",Table2[[#This Row],[avg gap]],Table2[[#This Row],[gap3]]))-starting_interval)*Table2[[#This Row],[followers3]]/Table2[[#This Row],[group size3]],""),"")</f>
        <v/>
      </c>
      <c r="V199" s="32" t="str">
        <f>_xlfn.IFNA(VLOOKUP(Table2[[#This Row],[Name]],'6-6-6 - players'!$A$2:$B$69,2,FALSE),"")</f>
        <v/>
      </c>
      <c r="W199" s="59" t="str">
        <f>IF(Table2[[#This Row],[tee time4]]&lt;&gt;"",COUNTIF('6-6-6 - players'!$B$2:$B$69,"="&amp;Table2[[#This Row],[tee time4]]),"")</f>
        <v/>
      </c>
      <c r="X199" s="59" t="str">
        <f>_xlfn.IFNA(VLOOKUP(Table2[[#This Row],[tee time4]],'6-6-6 - groups'!$A$3:$F$20,6,FALSE),"")</f>
        <v/>
      </c>
      <c r="Y199" s="4" t="str">
        <f>_xlfn.IFNA(VLOOKUP(Table2[[#This Row],[tee time4]],'6-6-6 - groups'!$A$3:$F$20,4,FALSE),"")</f>
        <v/>
      </c>
      <c r="Z199" s="13" t="str">
        <f>_xlfn.IFNA(VLOOKUP(Table2[[#This Row],[tee time4]],'6-6-6 - groups'!$A$3:$F$20,5,FALSE),"")</f>
        <v/>
      </c>
      <c r="AA199" s="69" t="str">
        <f>IF(Table2[[#This Row],[avg gap]]&lt;&gt;"",IFERROR((MAX(starting_interval,IF(Table2[[#This Row],[gap4]]="NA",Table2[[#This Row],[avg gap]],Table2[[#This Row],[gap4]]))-starting_interval)*Table2[[#This Row],[followers4]]/Table2[[#This Row],[group size4]],""),"")</f>
        <v/>
      </c>
      <c r="AB199" s="32" t="str">
        <f>_xlfn.IFNA(VLOOKUP(Table2[[#This Row],[Name]],'Fall FD - players'!$A$2:$B$65,2,FALSE),"")</f>
        <v/>
      </c>
      <c r="AC199" s="59" t="str">
        <f>IF(Table2[[#This Row],[tee time5]]&lt;&gt;"",COUNTIF('Fall FD - players'!$B$2:$B$65,"="&amp;Table2[[#This Row],[tee time5]]),"")</f>
        <v/>
      </c>
      <c r="AD199" s="59" t="str">
        <f>_xlfn.IFNA(VLOOKUP(Table2[[#This Row],[tee time5]],'Fall FD - groups'!$A$3:$F$20,6,FALSE),"")</f>
        <v/>
      </c>
      <c r="AE199" s="4" t="str">
        <f>_xlfn.IFNA(VLOOKUP(Table2[[#This Row],[tee time5]],'Fall FD - groups'!$A$3:$F$20,4,FALSE),"")</f>
        <v/>
      </c>
      <c r="AF199" s="13" t="str">
        <f>IFERROR(MIN(_xlfn.IFNA(VLOOKUP(Table2[[#This Row],[tee time5]],'Fall FD - groups'!$A$3:$F$20,5,FALSE),""),starting_interval + Table2[[#This Row],[round5]] - standard_round_time),"")</f>
        <v/>
      </c>
      <c r="AG199" s="69" t="str">
        <f>IF(AND(Table2[[#This Row],[gap5]]="NA",Table2[[#This Row],[round5]]&lt;4/24),0,IFERROR((MAX(starting_interval,IF(Table2[[#This Row],[gap5]]="NA",Table2[[#This Row],[avg gap]],Table2[[#This Row],[gap5]]))-starting_interval)*Table2[[#This Row],[followers5]]/Table2[[#This Row],[group size5]],""))</f>
        <v/>
      </c>
      <c r="AH199" s="32" t="str">
        <f>_xlfn.IFNA(VLOOKUP(Table2[[#This Row],[Name]],'Stableford - players'!$A$2:$B$65,2,FALSE),"")</f>
        <v/>
      </c>
      <c r="AI199" s="59" t="str">
        <f>IF(Table2[[#This Row],[tee time6]]&lt;&gt;"",COUNTIF('Stableford - players'!$B$2:$B$65,"="&amp;Table2[[#This Row],[tee time6]]),"")</f>
        <v/>
      </c>
      <c r="AJ199" s="59" t="str">
        <f>_xlfn.IFNA(VLOOKUP(Table2[[#This Row],[tee time6]],'Stableford - groups'!$A$3:$F$20,6,FALSE),"")</f>
        <v/>
      </c>
      <c r="AK199" s="11" t="str">
        <f>_xlfn.IFNA(VLOOKUP(Table2[[#This Row],[tee time6]],'Stableford - groups'!$A$3:$F$20,4,FALSE),"")</f>
        <v/>
      </c>
      <c r="AL199" s="13" t="str">
        <f>_xlfn.IFNA(VLOOKUP(Table2[[#This Row],[tee time6]],'Stableford - groups'!$A$3:$F$20,5,FALSE),"")</f>
        <v/>
      </c>
      <c r="AM199" s="68" t="str">
        <f>IF(AND(Table2[[#This Row],[gap6]]="NA",Table2[[#This Row],[round6]]&lt;4/24),0,IFERROR((MAX(starting_interval,IF(Table2[[#This Row],[gap6]]="NA",Table2[[#This Row],[avg gap]],Table2[[#This Row],[gap6]]))-starting_interval)*Table2[[#This Row],[followers6]]/Table2[[#This Row],[group size6]],""))</f>
        <v/>
      </c>
      <c r="AN199" s="32" t="str">
        <f>_xlfn.IFNA(VLOOKUP(Table2[[#This Row],[Name]],'Turkey Shoot - players'!$A$2:$B$65,2,FALSE),"")</f>
        <v/>
      </c>
      <c r="AO199" s="59" t="str">
        <f>IF(Table2[[#This Row],[tee time7]]&lt;&gt;"",COUNTIF('Turkey Shoot - players'!$B$2:$B$65,"="&amp;Table2[[#This Row],[tee time7]]),"")</f>
        <v/>
      </c>
      <c r="AP199" s="59" t="str">
        <f>_xlfn.IFNA(VLOOKUP(Table2[[#This Row],[tee time7]],'Stableford - groups'!$A$3:$F$20,6,FALSE),"")</f>
        <v/>
      </c>
      <c r="AQ199" s="11" t="str">
        <f>_xlfn.IFNA(VLOOKUP(Table2[[#This Row],[tee time7]],'Turkey Shoot - groups'!$A$3:$F$20,4,FALSE),"")</f>
        <v/>
      </c>
      <c r="AR199" s="13" t="str">
        <f>_xlfn.IFNA(VLOOKUP(Table2[[#This Row],[tee time7]],'Turkey Shoot - groups'!$A$3:$F$20,5,FALSE),"")</f>
        <v/>
      </c>
      <c r="AS199" s="68" t="str">
        <f>IF(AND(Table2[[#This Row],[gap7]]="NA",Table2[[#This Row],[round7]]&lt;4/24),0,IFERROR((MAX(starting_interval,IF(Table2[[#This Row],[gap7]]="NA",Table2[[#This Row],[avg gap]],Table2[[#This Row],[gap7]]))-starting_interval)*Table2[[#This Row],[followers7]]/Table2[[#This Row],[group size7]],""))</f>
        <v/>
      </c>
      <c r="AT199" s="72">
        <f>COUNT(Table2[[#This Row],[Tee time1]],Table2[[#This Row],[tee time2]],Table2[[#This Row],[tee time3]],Table2[[#This Row],[tee time4]],Table2[[#This Row],[tee time5]],Table2[[#This Row],[tee time6]],Table2[[#This Row],[tee time7]])</f>
        <v>2</v>
      </c>
      <c r="AU199" s="4">
        <f>IFERROR(AVERAGE(Table2[[#This Row],[Tee time1]],Table2[[#This Row],[tee time2]],Table2[[#This Row],[tee time3]],Table2[[#This Row],[tee time4]],Table2[[#This Row],[tee time5]],Table2[[#This Row],[tee time6]],Table2[[#This Row],[tee time7]]),"")</f>
        <v>0.37395833333333328</v>
      </c>
      <c r="AV199" s="11">
        <f>IFERROR(MEDIAN(Table2[[#This Row],[round1]],Table2[[#This Row],[Round2]],Table2[[#This Row],[round3]],Table2[[#This Row],[round4]],Table2[[#This Row],[round5]],Table2[[#This Row],[round6]],Table2[[#This Row],[round7]]),"")</f>
        <v>0.18333333333333335</v>
      </c>
      <c r="AW199" s="11">
        <f>IFERROR(AVERAGE(Table2[[#This Row],[gap1]],Table2[[#This Row],[gap2]],Table2[[#This Row],[gap3]],Table2[[#This Row],[gap4]],Table2[[#This Row],[gap5]],Table2[[#This Row],[gap6]],Table2[[#This Row],[gap7]]),"")</f>
        <v>3.4722222222222099E-3</v>
      </c>
      <c r="AX199" s="9">
        <f>IFERROR((Table2[[#This Row],[avg gap]]-starting_interval)*24*60*Table2[[#This Row],[Count]],"NA")</f>
        <v>-10.000000000000034</v>
      </c>
      <c r="AY199"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199" s="2"/>
    </row>
    <row r="200" spans="1:52" hidden="1" x14ac:dyDescent="0.3">
      <c r="A200" s="10" t="s">
        <v>146</v>
      </c>
      <c r="B200" s="1" t="s">
        <v>387</v>
      </c>
      <c r="C200" s="19">
        <v>10.199999999999999</v>
      </c>
      <c r="D200" s="32" t="str">
        <f>_xlfn.IFNA(VLOOKUP(Table2[[#This Row],[Name]],'Classic day 1 - players'!$A$2:$B$64,2,FALSE),"")</f>
        <v/>
      </c>
      <c r="E200" s="33" t="str">
        <f>IF(Table2[[#This Row],[Tee time1]]&lt;&gt;"",COUNTIF('Classic day 1 - players'!$B$2:$B$64,"="&amp;Table2[[#This Row],[Tee time1]]),"")</f>
        <v/>
      </c>
      <c r="F200" s="4" t="str">
        <f>_xlfn.IFNA(VLOOKUP(Table2[[#This Row],[Tee time1]],'Classic day 1 - groups'!$A$3:$F$20,6,FALSE),"")</f>
        <v/>
      </c>
      <c r="G200" s="11" t="str">
        <f>_xlfn.IFNA(VLOOKUP(Table2[[#This Row],[Tee time1]],'Classic day 1 - groups'!$A$3:$F$20,4,FALSE),"")</f>
        <v/>
      </c>
      <c r="H200" s="12" t="str">
        <f>_xlfn.IFNA(VLOOKUP(Table2[[#This Row],[Tee time1]],'Classic day 1 - groups'!$A$3:$F$20,5,FALSE),"")</f>
        <v/>
      </c>
      <c r="I200" s="69" t="str">
        <f>IFERROR((MAX(starting_interval,IF(Table2[[#This Row],[gap1]]="NA",Table2[[#This Row],[avg gap]],Table2[[#This Row],[gap1]]))-starting_interval)*Table2[[#This Row],[followers1]]/Table2[[#This Row],[group size]],"")</f>
        <v/>
      </c>
      <c r="J200" s="32" t="str">
        <f>_xlfn.IFNA(VLOOKUP(Table2[[#This Row],[Name]],'Classic day 2 - players'!$A$2:$B$64,2,FALSE),"")</f>
        <v/>
      </c>
      <c r="K200" s="4" t="str">
        <f>IF(Table2[[#This Row],[tee time2]]&lt;&gt;"",COUNTIF('Classic day 2 - players'!$B$2:$B$64,"="&amp;Table2[[#This Row],[tee time2]]),"")</f>
        <v/>
      </c>
      <c r="L200" s="4" t="str">
        <f>_xlfn.IFNA(VLOOKUP(Table2[[#This Row],[tee time2]],'Classic day 2 - groups'!$A$3:$F$20,6,FALSE),"")</f>
        <v/>
      </c>
      <c r="M200" s="4" t="str">
        <f>_xlfn.IFNA(VLOOKUP(Table2[[#This Row],[tee time2]],'Classic day 2 - groups'!$A$3:$F$20,4,FALSE),"")</f>
        <v/>
      </c>
      <c r="N200" s="65" t="str">
        <f>_xlfn.IFNA(VLOOKUP(Table2[[#This Row],[tee time2]],'Classic day 2 - groups'!$A$3:$F$20,5,FALSE),"")</f>
        <v/>
      </c>
      <c r="O200" s="69" t="str">
        <f>IFERROR((MAX(starting_interval,IF(Table2[[#This Row],[gap2]]="NA",Table2[[#This Row],[avg gap]],Table2[[#This Row],[gap2]]))-starting_interval)*Table2[[#This Row],[followers2]]/Table2[[#This Row],[group size2]],"")</f>
        <v/>
      </c>
      <c r="P200" s="32" t="str">
        <f>_xlfn.IFNA(VLOOKUP(Table2[[#This Row],[Name]],'Summer FD - players'!$A$2:$B$65,2,FALSE),"")</f>
        <v/>
      </c>
      <c r="Q200" s="59" t="str">
        <f>IF(Table2[[#This Row],[tee time3]]&lt;&gt;"",COUNTIF('Summer FD - players'!$B$2:$B$65,"="&amp;Table2[[#This Row],[tee time3]]),"")</f>
        <v/>
      </c>
      <c r="R200" s="59" t="str">
        <f>_xlfn.IFNA(VLOOKUP(Table2[[#This Row],[tee time3]],'Summer FD - groups'!$A$3:$F$20,6,FALSE),"")</f>
        <v/>
      </c>
      <c r="S200" s="4" t="str">
        <f>_xlfn.IFNA(VLOOKUP(Table2[[#This Row],[tee time3]],'Summer FD - groups'!$A$3:$F$20,4,FALSE),"")</f>
        <v/>
      </c>
      <c r="T200" s="13" t="str">
        <f>_xlfn.IFNA(VLOOKUP(Table2[[#This Row],[tee time3]],'Summer FD - groups'!$A$3:$F$20,5,FALSE),"")</f>
        <v/>
      </c>
      <c r="U200" s="69" t="str">
        <f>IF(Table2[[#This Row],[avg gap]]&lt;&gt;"",IFERROR((MAX(starting_interval,IF(Table2[[#This Row],[gap3]]="NA",Table2[[#This Row],[avg gap]],Table2[[#This Row],[gap3]]))-starting_interval)*Table2[[#This Row],[followers3]]/Table2[[#This Row],[group size3]],""),"")</f>
        <v/>
      </c>
      <c r="V200" s="32" t="str">
        <f>_xlfn.IFNA(VLOOKUP(Table2[[#This Row],[Name]],'6-6-6 - players'!$A$2:$B$69,2,FALSE),"")</f>
        <v/>
      </c>
      <c r="W200" s="59" t="str">
        <f>IF(Table2[[#This Row],[tee time4]]&lt;&gt;"",COUNTIF('6-6-6 - players'!$B$2:$B$69,"="&amp;Table2[[#This Row],[tee time4]]),"")</f>
        <v/>
      </c>
      <c r="X200" s="59" t="str">
        <f>_xlfn.IFNA(VLOOKUP(Table2[[#This Row],[tee time4]],'6-6-6 - groups'!$A$3:$F$20,6,FALSE),"")</f>
        <v/>
      </c>
      <c r="Y200" s="4" t="str">
        <f>_xlfn.IFNA(VLOOKUP(Table2[[#This Row],[tee time4]],'6-6-6 - groups'!$A$3:$F$20,4,FALSE),"")</f>
        <v/>
      </c>
      <c r="Z200" s="13" t="str">
        <f>_xlfn.IFNA(VLOOKUP(Table2[[#This Row],[tee time4]],'6-6-6 - groups'!$A$3:$F$20,5,FALSE),"")</f>
        <v/>
      </c>
      <c r="AA200" s="69" t="str">
        <f>IF(Table2[[#This Row],[avg gap]]&lt;&gt;"",IFERROR((MAX(starting_interval,IF(Table2[[#This Row],[gap4]]="NA",Table2[[#This Row],[avg gap]],Table2[[#This Row],[gap4]]))-starting_interval)*Table2[[#This Row],[followers4]]/Table2[[#This Row],[group size4]],""),"")</f>
        <v/>
      </c>
      <c r="AB200" s="32" t="str">
        <f>_xlfn.IFNA(VLOOKUP(Table2[[#This Row],[Name]],'Fall FD - players'!$A$2:$B$65,2,FALSE),"")</f>
        <v/>
      </c>
      <c r="AC200" s="59" t="str">
        <f>IF(Table2[[#This Row],[tee time5]]&lt;&gt;"",COUNTIF('Fall FD - players'!$B$2:$B$65,"="&amp;Table2[[#This Row],[tee time5]]),"")</f>
        <v/>
      </c>
      <c r="AD200" s="59" t="str">
        <f>_xlfn.IFNA(VLOOKUP(Table2[[#This Row],[tee time5]],'Fall FD - groups'!$A$3:$F$20,6,FALSE),"")</f>
        <v/>
      </c>
      <c r="AE200" s="4" t="str">
        <f>_xlfn.IFNA(VLOOKUP(Table2[[#This Row],[tee time5]],'Fall FD - groups'!$A$3:$F$20,4,FALSE),"")</f>
        <v/>
      </c>
      <c r="AF200" s="13" t="str">
        <f>IFERROR(MIN(_xlfn.IFNA(VLOOKUP(Table2[[#This Row],[tee time5]],'Fall FD - groups'!$A$3:$F$20,5,FALSE),""),starting_interval + Table2[[#This Row],[round5]] - standard_round_time),"")</f>
        <v/>
      </c>
      <c r="AG200" s="69" t="str">
        <f>IF(AND(Table2[[#This Row],[gap5]]="NA",Table2[[#This Row],[round5]]&lt;4/24),0,IFERROR((MAX(starting_interval,IF(Table2[[#This Row],[gap5]]="NA",Table2[[#This Row],[avg gap]],Table2[[#This Row],[gap5]]))-starting_interval)*Table2[[#This Row],[followers5]]/Table2[[#This Row],[group size5]],""))</f>
        <v/>
      </c>
      <c r="AH200" s="32" t="str">
        <f>_xlfn.IFNA(VLOOKUP(Table2[[#This Row],[Name]],'Stableford - players'!$A$2:$B$65,2,FALSE),"")</f>
        <v/>
      </c>
      <c r="AI200" s="59" t="str">
        <f>IF(Table2[[#This Row],[tee time6]]&lt;&gt;"",COUNTIF('Stableford - players'!$B$2:$B$65,"="&amp;Table2[[#This Row],[tee time6]]),"")</f>
        <v/>
      </c>
      <c r="AJ200" s="59" t="str">
        <f>_xlfn.IFNA(VLOOKUP(Table2[[#This Row],[tee time6]],'Stableford - groups'!$A$3:$F$20,6,FALSE),"")</f>
        <v/>
      </c>
      <c r="AK200" s="11" t="str">
        <f>_xlfn.IFNA(VLOOKUP(Table2[[#This Row],[tee time6]],'Stableford - groups'!$A$3:$F$20,4,FALSE),"")</f>
        <v/>
      </c>
      <c r="AL200" s="13" t="str">
        <f>_xlfn.IFNA(VLOOKUP(Table2[[#This Row],[tee time6]],'Stableford - groups'!$A$3:$F$20,5,FALSE),"")</f>
        <v/>
      </c>
      <c r="AM200" s="68" t="str">
        <f>IF(AND(Table2[[#This Row],[gap6]]="NA",Table2[[#This Row],[round6]]&lt;4/24),0,IFERROR((MAX(starting_interval,IF(Table2[[#This Row],[gap6]]="NA",Table2[[#This Row],[avg gap]],Table2[[#This Row],[gap6]]))-starting_interval)*Table2[[#This Row],[followers6]]/Table2[[#This Row],[group size6]],""))</f>
        <v/>
      </c>
      <c r="AN200" s="32" t="str">
        <f>_xlfn.IFNA(VLOOKUP(Table2[[#This Row],[Name]],'Turkey Shoot - players'!$A$2:$B$65,2,FALSE),"")</f>
        <v/>
      </c>
      <c r="AO200" s="59" t="str">
        <f>IF(Table2[[#This Row],[tee time7]]&lt;&gt;"",COUNTIF('Turkey Shoot - players'!$B$2:$B$65,"="&amp;Table2[[#This Row],[tee time7]]),"")</f>
        <v/>
      </c>
      <c r="AP200" s="59" t="str">
        <f>_xlfn.IFNA(VLOOKUP(Table2[[#This Row],[tee time7]],'Stableford - groups'!$A$3:$F$20,6,FALSE),"")</f>
        <v/>
      </c>
      <c r="AQ200" s="11" t="str">
        <f>_xlfn.IFNA(VLOOKUP(Table2[[#This Row],[tee time7]],'Turkey Shoot - groups'!$A$3:$F$20,4,FALSE),"")</f>
        <v/>
      </c>
      <c r="AR200" s="13" t="str">
        <f>_xlfn.IFNA(VLOOKUP(Table2[[#This Row],[tee time7]],'Turkey Shoot - groups'!$A$3:$F$20,5,FALSE),"")</f>
        <v/>
      </c>
      <c r="AS200" s="68" t="str">
        <f>IF(AND(Table2[[#This Row],[gap7]]="NA",Table2[[#This Row],[round7]]&lt;4/24),0,IFERROR((MAX(starting_interval,IF(Table2[[#This Row],[gap7]]="NA",Table2[[#This Row],[avg gap]],Table2[[#This Row],[gap7]]))-starting_interval)*Table2[[#This Row],[followers7]]/Table2[[#This Row],[group size7]],""))</f>
        <v/>
      </c>
      <c r="AT200" s="72">
        <f>COUNT(Table2[[#This Row],[Tee time1]],Table2[[#This Row],[tee time2]],Table2[[#This Row],[tee time3]],Table2[[#This Row],[tee time4]],Table2[[#This Row],[tee time5]],Table2[[#This Row],[tee time6]],Table2[[#This Row],[tee time7]])</f>
        <v>0</v>
      </c>
      <c r="AU200" s="4" t="str">
        <f>IFERROR(AVERAGE(Table2[[#This Row],[Tee time1]],Table2[[#This Row],[tee time2]],Table2[[#This Row],[tee time3]],Table2[[#This Row],[tee time4]],Table2[[#This Row],[tee time5]],Table2[[#This Row],[tee time6]],Table2[[#This Row],[tee time7]]),"")</f>
        <v/>
      </c>
      <c r="AV200" s="11" t="str">
        <f>IFERROR(MEDIAN(Table2[[#This Row],[round1]],Table2[[#This Row],[Round2]],Table2[[#This Row],[round3]],Table2[[#This Row],[round4]],Table2[[#This Row],[round5]],Table2[[#This Row],[round6]],Table2[[#This Row],[round7]]),"")</f>
        <v/>
      </c>
      <c r="AW200" s="11" t="str">
        <f>IFERROR(AVERAGE(Table2[[#This Row],[gap1]],Table2[[#This Row],[gap2]],Table2[[#This Row],[gap3]],Table2[[#This Row],[gap4]],Table2[[#This Row],[gap5]],Table2[[#This Row],[gap6]],Table2[[#This Row],[gap7]]),"")</f>
        <v/>
      </c>
      <c r="AX200" s="9" t="str">
        <f>IFERROR((Table2[[#This Row],[avg gap]]-starting_interval)*24*60*Table2[[#This Row],[Count]],"NA")</f>
        <v>NA</v>
      </c>
      <c r="AY200"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00" s="2"/>
    </row>
    <row r="201" spans="1:52" hidden="1" x14ac:dyDescent="0.3">
      <c r="A201" s="10" t="s">
        <v>147</v>
      </c>
      <c r="B201" s="1" t="s">
        <v>388</v>
      </c>
      <c r="C201" s="19">
        <v>9.1</v>
      </c>
      <c r="D201" s="32" t="str">
        <f>_xlfn.IFNA(VLOOKUP(Table2[[#This Row],[Name]],'Classic day 1 - players'!$A$2:$B$64,2,FALSE),"")</f>
        <v/>
      </c>
      <c r="E201" s="33" t="str">
        <f>IF(Table2[[#This Row],[Tee time1]]&lt;&gt;"",COUNTIF('Classic day 1 - players'!$B$2:$B$64,"="&amp;Table2[[#This Row],[Tee time1]]),"")</f>
        <v/>
      </c>
      <c r="F201" s="4" t="str">
        <f>_xlfn.IFNA(VLOOKUP(Table2[[#This Row],[Tee time1]],'Classic day 1 - groups'!$A$3:$F$20,6,FALSE),"")</f>
        <v/>
      </c>
      <c r="G201" s="11" t="str">
        <f>_xlfn.IFNA(VLOOKUP(Table2[[#This Row],[Tee time1]],'Classic day 1 - groups'!$A$3:$F$20,4,FALSE),"")</f>
        <v/>
      </c>
      <c r="H201" s="12" t="str">
        <f>_xlfn.IFNA(VLOOKUP(Table2[[#This Row],[Tee time1]],'Classic day 1 - groups'!$A$3:$F$20,5,FALSE),"")</f>
        <v/>
      </c>
      <c r="I201" s="69" t="str">
        <f>IFERROR((MAX(starting_interval,IF(Table2[[#This Row],[gap1]]="NA",Table2[[#This Row],[avg gap]],Table2[[#This Row],[gap1]]))-starting_interval)*Table2[[#This Row],[followers1]]/Table2[[#This Row],[group size]],"")</f>
        <v/>
      </c>
      <c r="J201" s="32" t="str">
        <f>_xlfn.IFNA(VLOOKUP(Table2[[#This Row],[Name]],'Classic day 2 - players'!$A$2:$B$64,2,FALSE),"")</f>
        <v/>
      </c>
      <c r="K201" s="4" t="str">
        <f>IF(Table2[[#This Row],[tee time2]]&lt;&gt;"",COUNTIF('Classic day 2 - players'!$B$2:$B$64,"="&amp;Table2[[#This Row],[tee time2]]),"")</f>
        <v/>
      </c>
      <c r="L201" s="4" t="str">
        <f>_xlfn.IFNA(VLOOKUP(Table2[[#This Row],[tee time2]],'Classic day 2 - groups'!$A$3:$F$20,6,FALSE),"")</f>
        <v/>
      </c>
      <c r="M201" s="4" t="str">
        <f>_xlfn.IFNA(VLOOKUP(Table2[[#This Row],[tee time2]],'Classic day 2 - groups'!$A$3:$F$20,4,FALSE),"")</f>
        <v/>
      </c>
      <c r="N201" s="65" t="str">
        <f>_xlfn.IFNA(VLOOKUP(Table2[[#This Row],[tee time2]],'Classic day 2 - groups'!$A$3:$F$20,5,FALSE),"")</f>
        <v/>
      </c>
      <c r="O201" s="69" t="str">
        <f>IFERROR((MAX(starting_interval,IF(Table2[[#This Row],[gap2]]="NA",Table2[[#This Row],[avg gap]],Table2[[#This Row],[gap2]]))-starting_interval)*Table2[[#This Row],[followers2]]/Table2[[#This Row],[group size2]],"")</f>
        <v/>
      </c>
      <c r="P201" s="32" t="str">
        <f>_xlfn.IFNA(VLOOKUP(Table2[[#This Row],[Name]],'Summer FD - players'!$A$2:$B$65,2,FALSE),"")</f>
        <v/>
      </c>
      <c r="Q201" s="59" t="str">
        <f>IF(Table2[[#This Row],[tee time3]]&lt;&gt;"",COUNTIF('Summer FD - players'!$B$2:$B$65,"="&amp;Table2[[#This Row],[tee time3]]),"")</f>
        <v/>
      </c>
      <c r="R201" s="59" t="str">
        <f>_xlfn.IFNA(VLOOKUP(Table2[[#This Row],[tee time3]],'Summer FD - groups'!$A$3:$F$20,6,FALSE),"")</f>
        <v/>
      </c>
      <c r="S201" s="4" t="str">
        <f>_xlfn.IFNA(VLOOKUP(Table2[[#This Row],[tee time3]],'Summer FD - groups'!$A$3:$F$20,4,FALSE),"")</f>
        <v/>
      </c>
      <c r="T201" s="13" t="str">
        <f>_xlfn.IFNA(VLOOKUP(Table2[[#This Row],[tee time3]],'Summer FD - groups'!$A$3:$F$20,5,FALSE),"")</f>
        <v/>
      </c>
      <c r="U201" s="69" t="str">
        <f>IF(Table2[[#This Row],[avg gap]]&lt;&gt;"",IFERROR((MAX(starting_interval,IF(Table2[[#This Row],[gap3]]="NA",Table2[[#This Row],[avg gap]],Table2[[#This Row],[gap3]]))-starting_interval)*Table2[[#This Row],[followers3]]/Table2[[#This Row],[group size3]],""),"")</f>
        <v/>
      </c>
      <c r="V201" s="32" t="str">
        <f>_xlfn.IFNA(VLOOKUP(Table2[[#This Row],[Name]],'6-6-6 - players'!$A$2:$B$69,2,FALSE),"")</f>
        <v/>
      </c>
      <c r="W201" s="59" t="str">
        <f>IF(Table2[[#This Row],[tee time4]]&lt;&gt;"",COUNTIF('6-6-6 - players'!$B$2:$B$69,"="&amp;Table2[[#This Row],[tee time4]]),"")</f>
        <v/>
      </c>
      <c r="X201" s="59" t="str">
        <f>_xlfn.IFNA(VLOOKUP(Table2[[#This Row],[tee time4]],'6-6-6 - groups'!$A$3:$F$20,6,FALSE),"")</f>
        <v/>
      </c>
      <c r="Y201" s="4" t="str">
        <f>_xlfn.IFNA(VLOOKUP(Table2[[#This Row],[tee time4]],'6-6-6 - groups'!$A$3:$F$20,4,FALSE),"")</f>
        <v/>
      </c>
      <c r="Z201" s="13" t="str">
        <f>_xlfn.IFNA(VLOOKUP(Table2[[#This Row],[tee time4]],'6-6-6 - groups'!$A$3:$F$20,5,FALSE),"")</f>
        <v/>
      </c>
      <c r="AA201" s="69" t="str">
        <f>IF(Table2[[#This Row],[avg gap]]&lt;&gt;"",IFERROR((MAX(starting_interval,IF(Table2[[#This Row],[gap4]]="NA",Table2[[#This Row],[avg gap]],Table2[[#This Row],[gap4]]))-starting_interval)*Table2[[#This Row],[followers4]]/Table2[[#This Row],[group size4]],""),"")</f>
        <v/>
      </c>
      <c r="AB201" s="32" t="str">
        <f>_xlfn.IFNA(VLOOKUP(Table2[[#This Row],[Name]],'Fall FD - players'!$A$2:$B$65,2,FALSE),"")</f>
        <v/>
      </c>
      <c r="AC201" s="59" t="str">
        <f>IF(Table2[[#This Row],[tee time5]]&lt;&gt;"",COUNTIF('Fall FD - players'!$B$2:$B$65,"="&amp;Table2[[#This Row],[tee time5]]),"")</f>
        <v/>
      </c>
      <c r="AD201" s="59" t="str">
        <f>_xlfn.IFNA(VLOOKUP(Table2[[#This Row],[tee time5]],'Fall FD - groups'!$A$3:$F$20,6,FALSE),"")</f>
        <v/>
      </c>
      <c r="AE201" s="4" t="str">
        <f>_xlfn.IFNA(VLOOKUP(Table2[[#This Row],[tee time5]],'Fall FD - groups'!$A$3:$F$20,4,FALSE),"")</f>
        <v/>
      </c>
      <c r="AF201" s="13" t="str">
        <f>IFERROR(MIN(_xlfn.IFNA(VLOOKUP(Table2[[#This Row],[tee time5]],'Fall FD - groups'!$A$3:$F$20,5,FALSE),""),starting_interval + Table2[[#This Row],[round5]] - standard_round_time),"")</f>
        <v/>
      </c>
      <c r="AG201" s="69" t="str">
        <f>IF(AND(Table2[[#This Row],[gap5]]="NA",Table2[[#This Row],[round5]]&lt;4/24),0,IFERROR((MAX(starting_interval,IF(Table2[[#This Row],[gap5]]="NA",Table2[[#This Row],[avg gap]],Table2[[#This Row],[gap5]]))-starting_interval)*Table2[[#This Row],[followers5]]/Table2[[#This Row],[group size5]],""))</f>
        <v/>
      </c>
      <c r="AH201" s="32" t="str">
        <f>_xlfn.IFNA(VLOOKUP(Table2[[#This Row],[Name]],'Stableford - players'!$A$2:$B$65,2,FALSE),"")</f>
        <v/>
      </c>
      <c r="AI201" s="59" t="str">
        <f>IF(Table2[[#This Row],[tee time6]]&lt;&gt;"",COUNTIF('Stableford - players'!$B$2:$B$65,"="&amp;Table2[[#This Row],[tee time6]]),"")</f>
        <v/>
      </c>
      <c r="AJ201" s="59" t="str">
        <f>_xlfn.IFNA(VLOOKUP(Table2[[#This Row],[tee time6]],'Stableford - groups'!$A$3:$F$20,6,FALSE),"")</f>
        <v/>
      </c>
      <c r="AK201" s="11" t="str">
        <f>_xlfn.IFNA(VLOOKUP(Table2[[#This Row],[tee time6]],'Stableford - groups'!$A$3:$F$20,4,FALSE),"")</f>
        <v/>
      </c>
      <c r="AL201" s="13" t="str">
        <f>_xlfn.IFNA(VLOOKUP(Table2[[#This Row],[tee time6]],'Stableford - groups'!$A$3:$F$20,5,FALSE),"")</f>
        <v/>
      </c>
      <c r="AM201" s="68" t="str">
        <f>IF(AND(Table2[[#This Row],[gap6]]="NA",Table2[[#This Row],[round6]]&lt;4/24),0,IFERROR((MAX(starting_interval,IF(Table2[[#This Row],[gap6]]="NA",Table2[[#This Row],[avg gap]],Table2[[#This Row],[gap6]]))-starting_interval)*Table2[[#This Row],[followers6]]/Table2[[#This Row],[group size6]],""))</f>
        <v/>
      </c>
      <c r="AN201" s="32" t="str">
        <f>_xlfn.IFNA(VLOOKUP(Table2[[#This Row],[Name]],'Turkey Shoot - players'!$A$2:$B$65,2,FALSE),"")</f>
        <v/>
      </c>
      <c r="AO201" s="59" t="str">
        <f>IF(Table2[[#This Row],[tee time7]]&lt;&gt;"",COUNTIF('Turkey Shoot - players'!$B$2:$B$65,"="&amp;Table2[[#This Row],[tee time7]]),"")</f>
        <v/>
      </c>
      <c r="AP201" s="59" t="str">
        <f>_xlfn.IFNA(VLOOKUP(Table2[[#This Row],[tee time7]],'Stableford - groups'!$A$3:$F$20,6,FALSE),"")</f>
        <v/>
      </c>
      <c r="AQ201" s="11" t="str">
        <f>_xlfn.IFNA(VLOOKUP(Table2[[#This Row],[tee time7]],'Turkey Shoot - groups'!$A$3:$F$20,4,FALSE),"")</f>
        <v/>
      </c>
      <c r="AR201" s="13" t="str">
        <f>_xlfn.IFNA(VLOOKUP(Table2[[#This Row],[tee time7]],'Turkey Shoot - groups'!$A$3:$F$20,5,FALSE),"")</f>
        <v/>
      </c>
      <c r="AS201" s="68" t="str">
        <f>IF(AND(Table2[[#This Row],[gap7]]="NA",Table2[[#This Row],[round7]]&lt;4/24),0,IFERROR((MAX(starting_interval,IF(Table2[[#This Row],[gap7]]="NA",Table2[[#This Row],[avg gap]],Table2[[#This Row],[gap7]]))-starting_interval)*Table2[[#This Row],[followers7]]/Table2[[#This Row],[group size7]],""))</f>
        <v/>
      </c>
      <c r="AT201" s="72">
        <f>COUNT(Table2[[#This Row],[Tee time1]],Table2[[#This Row],[tee time2]],Table2[[#This Row],[tee time3]],Table2[[#This Row],[tee time4]],Table2[[#This Row],[tee time5]],Table2[[#This Row],[tee time6]],Table2[[#This Row],[tee time7]])</f>
        <v>0</v>
      </c>
      <c r="AU201" s="4" t="str">
        <f>IFERROR(AVERAGE(Table2[[#This Row],[Tee time1]],Table2[[#This Row],[tee time2]],Table2[[#This Row],[tee time3]],Table2[[#This Row],[tee time4]],Table2[[#This Row],[tee time5]],Table2[[#This Row],[tee time6]],Table2[[#This Row],[tee time7]]),"")</f>
        <v/>
      </c>
      <c r="AV201" s="11" t="str">
        <f>IFERROR(MEDIAN(Table2[[#This Row],[round1]],Table2[[#This Row],[Round2]],Table2[[#This Row],[round3]],Table2[[#This Row],[round4]],Table2[[#This Row],[round5]],Table2[[#This Row],[round6]],Table2[[#This Row],[round7]]),"")</f>
        <v/>
      </c>
      <c r="AW201" s="11" t="str">
        <f>IFERROR(AVERAGE(Table2[[#This Row],[gap1]],Table2[[#This Row],[gap2]],Table2[[#This Row],[gap3]],Table2[[#This Row],[gap4]],Table2[[#This Row],[gap5]],Table2[[#This Row],[gap6]],Table2[[#This Row],[gap7]]),"")</f>
        <v/>
      </c>
      <c r="AX201" s="9" t="str">
        <f>IFERROR((Table2[[#This Row],[avg gap]]-starting_interval)*24*60*Table2[[#This Row],[Count]],"NA")</f>
        <v>NA</v>
      </c>
      <c r="AY201"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01" s="2"/>
    </row>
    <row r="202" spans="1:52" x14ac:dyDescent="0.3">
      <c r="A202" s="10" t="s">
        <v>88</v>
      </c>
      <c r="B202" s="1" t="s">
        <v>327</v>
      </c>
      <c r="C202" s="19">
        <v>14.6</v>
      </c>
      <c r="D202" s="32">
        <f>_xlfn.IFNA(VLOOKUP(Table2[[#This Row],[Name]],'Classic day 1 - players'!$A$2:$B$64,2,FALSE),"")</f>
        <v>0.36458333333333331</v>
      </c>
      <c r="E202" s="33">
        <f>IF(Table2[[#This Row],[Tee time1]]&lt;&gt;"",COUNTIF('Classic day 1 - players'!$B$2:$B$64,"="&amp;Table2[[#This Row],[Tee time1]]),"")</f>
        <v>4</v>
      </c>
      <c r="F202" s="33">
        <f>_xlfn.IFNA(VLOOKUP(Table2[[#This Row],[Tee time1]],'Classic day 1 - groups'!$A$3:$F$20,6,FALSE),"")</f>
        <v>48</v>
      </c>
      <c r="G202" s="11">
        <f>_xlfn.IFNA(VLOOKUP(Table2[[#This Row],[Tee time1]],'Classic day 1 - groups'!$A$3:$F$20,4,FALSE),"")</f>
        <v>0.19722222222222219</v>
      </c>
      <c r="H202" s="12">
        <f>_xlfn.IFNA(VLOOKUP(Table2[[#This Row],[Tee time1]],'Classic day 1 - groups'!$A$3:$F$20,5,FALSE),"")</f>
        <v>4.1666666666666519E-3</v>
      </c>
      <c r="I202" s="69">
        <f>IFERROR((MAX(starting_interval,IF(Table2[[#This Row],[gap1]]="NA",Table2[[#This Row],[avg gap]],Table2[[#This Row],[gap1]]))-starting_interval)*Table2[[#This Row],[followers1]]/Table2[[#This Row],[group size]],"")</f>
        <v>0</v>
      </c>
      <c r="J202" s="32">
        <f>_xlfn.IFNA(VLOOKUP(Table2[[#This Row],[Name]],'Classic day 2 - players'!$A$2:$B$64,2,FALSE),"")</f>
        <v>0.35833333333333334</v>
      </c>
      <c r="K202" s="33">
        <f>IF(Table2[[#This Row],[tee time2]]&lt;&gt;"",COUNTIF('Classic day 2 - players'!$B$2:$B$64,"="&amp;Table2[[#This Row],[tee time2]]),"")</f>
        <v>4</v>
      </c>
      <c r="L202" s="33">
        <f>_xlfn.IFNA(VLOOKUP(Table2[[#This Row],[tee time2]],'Classic day 2 - groups'!$A$3:$F$20,6,FALSE),"")</f>
        <v>36</v>
      </c>
      <c r="M202" s="4">
        <f>_xlfn.IFNA(VLOOKUP(Table2[[#This Row],[tee time2]],'Classic day 2 - groups'!$A$3:$F$20,4,FALSE),"")</f>
        <v>0.18541666666666667</v>
      </c>
      <c r="N202" s="65">
        <f>_xlfn.IFNA(VLOOKUP(Table2[[#This Row],[tee time2]],'Classic day 2 - groups'!$A$3:$F$20,5,FALSE),"")</f>
        <v>4.8611111111111112E-3</v>
      </c>
      <c r="O202" s="69">
        <f>IFERROR((MAX(starting_interval,IF(Table2[[#This Row],[gap2]]="NA",Table2[[#This Row],[avg gap]],Table2[[#This Row],[gap2]]))-starting_interval)*Table2[[#This Row],[followers2]]/Table2[[#This Row],[group size2]],"")</f>
        <v>0</v>
      </c>
      <c r="P202" s="32">
        <f>_xlfn.IFNA(VLOOKUP(Table2[[#This Row],[Name]],'Summer FD - players'!$A$2:$B$65,2,FALSE),"")</f>
        <v>0.42638888888888887</v>
      </c>
      <c r="Q202" s="59">
        <f>IF(Table2[[#This Row],[tee time3]]&lt;&gt;"",COUNTIF('Summer FD - players'!$B$2:$B$65,"="&amp;Table2[[#This Row],[tee time3]]),"")</f>
        <v>4</v>
      </c>
      <c r="R202" s="59">
        <f>_xlfn.IFNA(VLOOKUP(Table2[[#This Row],[tee time3]],'Summer FD - groups'!$A$3:$F$20,6,FALSE),"")</f>
        <v>8</v>
      </c>
      <c r="S202" s="4">
        <f>_xlfn.IFNA(VLOOKUP(Table2[[#This Row],[tee time3]],'Summer FD - groups'!$A$3:$F$20,4,FALSE),"")</f>
        <v>0.19583333333333336</v>
      </c>
      <c r="T202" s="13">
        <f>_xlfn.IFNA(VLOOKUP(Table2[[#This Row],[tee time3]],'Summer FD - groups'!$A$3:$F$20,5,FALSE),"")</f>
        <v>5.5555555555555358E-3</v>
      </c>
      <c r="U202" s="69">
        <f>IF(Table2[[#This Row],[avg gap]]&lt;&gt;"",IFERROR((MAX(starting_interval,IF(Table2[[#This Row],[gap3]]="NA",Table2[[#This Row],[avg gap]],Table2[[#This Row],[gap3]]))-starting_interval)*Table2[[#This Row],[followers3]]/Table2[[#This Row],[group size3]],""),"")</f>
        <v>0</v>
      </c>
      <c r="V202" s="32">
        <f>_xlfn.IFNA(VLOOKUP(Table2[[#This Row],[Name]],'6-6-6 - players'!$A$2:$B$69,2,FALSE),"")</f>
        <v>0.3888888888888889</v>
      </c>
      <c r="W202" s="59">
        <f>IF(Table2[[#This Row],[tee time4]]&lt;&gt;"",COUNTIF('6-6-6 - players'!$B$2:$B$69,"="&amp;Table2[[#This Row],[tee time4]]),"")</f>
        <v>4</v>
      </c>
      <c r="X202" s="59">
        <f>_xlfn.IFNA(VLOOKUP(Table2[[#This Row],[tee time4]],'6-6-6 - groups'!$A$3:$F$20,6,FALSE),"")</f>
        <v>36</v>
      </c>
      <c r="Y202" s="4">
        <f>_xlfn.IFNA(VLOOKUP(Table2[[#This Row],[tee time4]],'6-6-6 - groups'!$A$3:$F$20,4,FALSE),"")</f>
        <v>0.17291666666666666</v>
      </c>
      <c r="Z202" s="13">
        <f>_xlfn.IFNA(VLOOKUP(Table2[[#This Row],[tee time4]],'6-6-6 - groups'!$A$3:$F$20,5,FALSE),"")</f>
        <v>4.1666666666666519E-3</v>
      </c>
      <c r="AA202" s="69">
        <f>IF(Table2[[#This Row],[avg gap]]&lt;&gt;"",IFERROR((MAX(starting_interval,IF(Table2[[#This Row],[gap4]]="NA",Table2[[#This Row],[avg gap]],Table2[[#This Row],[gap4]]))-starting_interval)*Table2[[#This Row],[followers4]]/Table2[[#This Row],[group size4]],""),"")</f>
        <v>0</v>
      </c>
      <c r="AB202" s="32" t="str">
        <f>_xlfn.IFNA(VLOOKUP(Table2[[#This Row],[Name]],'Fall FD - players'!$A$2:$B$65,2,FALSE),"")</f>
        <v/>
      </c>
      <c r="AC202" s="59" t="str">
        <f>IF(Table2[[#This Row],[tee time5]]&lt;&gt;"",COUNTIF('Fall FD - players'!$B$2:$B$65,"="&amp;Table2[[#This Row],[tee time5]]),"")</f>
        <v/>
      </c>
      <c r="AD202" s="59" t="str">
        <f>_xlfn.IFNA(VLOOKUP(Table2[[#This Row],[tee time5]],'Fall FD - groups'!$A$3:$F$20,6,FALSE),"")</f>
        <v/>
      </c>
      <c r="AE202" s="4" t="str">
        <f>_xlfn.IFNA(VLOOKUP(Table2[[#This Row],[tee time5]],'Fall FD - groups'!$A$3:$F$20,4,FALSE),"")</f>
        <v/>
      </c>
      <c r="AF202" s="13" t="str">
        <f>IFERROR(MIN(_xlfn.IFNA(VLOOKUP(Table2[[#This Row],[tee time5]],'Fall FD - groups'!$A$3:$F$20,5,FALSE),""),starting_interval + Table2[[#This Row],[round5]] - standard_round_time),"")</f>
        <v/>
      </c>
      <c r="AG202" s="69" t="str">
        <f>IF(AND(Table2[[#This Row],[gap5]]="NA",Table2[[#This Row],[round5]]&lt;4/24),0,IFERROR((MAX(starting_interval,IF(Table2[[#This Row],[gap5]]="NA",Table2[[#This Row],[avg gap]],Table2[[#This Row],[gap5]]))-starting_interval)*Table2[[#This Row],[followers5]]/Table2[[#This Row],[group size5]],""))</f>
        <v/>
      </c>
      <c r="AH202" s="32" t="str">
        <f>_xlfn.IFNA(VLOOKUP(Table2[[#This Row],[Name]],'Stableford - players'!$A$2:$B$65,2,FALSE),"")</f>
        <v/>
      </c>
      <c r="AI202" s="59" t="str">
        <f>IF(Table2[[#This Row],[tee time6]]&lt;&gt;"",COUNTIF('Stableford - players'!$B$2:$B$65,"="&amp;Table2[[#This Row],[tee time6]]),"")</f>
        <v/>
      </c>
      <c r="AJ202" s="59" t="str">
        <f>_xlfn.IFNA(VLOOKUP(Table2[[#This Row],[tee time6]],'Stableford - groups'!$A$3:$F$20,6,FALSE),"")</f>
        <v/>
      </c>
      <c r="AK202" s="11" t="str">
        <f>_xlfn.IFNA(VLOOKUP(Table2[[#This Row],[tee time6]],'Stableford - groups'!$A$3:$F$20,4,FALSE),"")</f>
        <v/>
      </c>
      <c r="AL202" s="13" t="str">
        <f>_xlfn.IFNA(VLOOKUP(Table2[[#This Row],[tee time6]],'Stableford - groups'!$A$3:$F$20,5,FALSE),"")</f>
        <v/>
      </c>
      <c r="AM202" s="68" t="str">
        <f>IF(AND(Table2[[#This Row],[gap6]]="NA",Table2[[#This Row],[round6]]&lt;4/24),0,IFERROR((MAX(starting_interval,IF(Table2[[#This Row],[gap6]]="NA",Table2[[#This Row],[avg gap]],Table2[[#This Row],[gap6]]))-starting_interval)*Table2[[#This Row],[followers6]]/Table2[[#This Row],[group size6]],""))</f>
        <v/>
      </c>
      <c r="AN202" s="32" t="str">
        <f>_xlfn.IFNA(VLOOKUP(Table2[[#This Row],[Name]],'Turkey Shoot - players'!$A$2:$B$65,2,FALSE),"")</f>
        <v/>
      </c>
      <c r="AO202" s="59" t="str">
        <f>IF(Table2[[#This Row],[tee time7]]&lt;&gt;"",COUNTIF('Turkey Shoot - players'!$B$2:$B$65,"="&amp;Table2[[#This Row],[tee time7]]),"")</f>
        <v/>
      </c>
      <c r="AP202" s="59" t="str">
        <f>_xlfn.IFNA(VLOOKUP(Table2[[#This Row],[tee time7]],'Stableford - groups'!$A$3:$F$20,6,FALSE),"")</f>
        <v/>
      </c>
      <c r="AQ202" s="11" t="str">
        <f>_xlfn.IFNA(VLOOKUP(Table2[[#This Row],[tee time7]],'Turkey Shoot - groups'!$A$3:$F$20,4,FALSE),"")</f>
        <v/>
      </c>
      <c r="AR202" s="13" t="str">
        <f>_xlfn.IFNA(VLOOKUP(Table2[[#This Row],[tee time7]],'Turkey Shoot - groups'!$A$3:$F$20,5,FALSE),"")</f>
        <v/>
      </c>
      <c r="AS202" s="68" t="str">
        <f>IF(AND(Table2[[#This Row],[gap7]]="NA",Table2[[#This Row],[round7]]&lt;4/24),0,IFERROR((MAX(starting_interval,IF(Table2[[#This Row],[gap7]]="NA",Table2[[#This Row],[avg gap]],Table2[[#This Row],[gap7]]))-starting_interval)*Table2[[#This Row],[followers7]]/Table2[[#This Row],[group size7]],""))</f>
        <v/>
      </c>
      <c r="AT202" s="72">
        <f>COUNT(Table2[[#This Row],[Tee time1]],Table2[[#This Row],[tee time2]],Table2[[#This Row],[tee time3]],Table2[[#This Row],[tee time4]],Table2[[#This Row],[tee time5]],Table2[[#This Row],[tee time6]],Table2[[#This Row],[tee time7]])</f>
        <v>4</v>
      </c>
      <c r="AU202" s="4">
        <f>IFERROR(AVERAGE(Table2[[#This Row],[Tee time1]],Table2[[#This Row],[tee time2]],Table2[[#This Row],[tee time3]],Table2[[#This Row],[tee time4]],Table2[[#This Row],[tee time5]],Table2[[#This Row],[tee time6]],Table2[[#This Row],[tee time7]]),"")</f>
        <v>0.3845486111111111</v>
      </c>
      <c r="AV202" s="11">
        <f>IFERROR(MEDIAN(Table2[[#This Row],[round1]],Table2[[#This Row],[Round2]],Table2[[#This Row],[round3]],Table2[[#This Row],[round4]],Table2[[#This Row],[round5]],Table2[[#This Row],[round6]],Table2[[#This Row],[round7]]),"")</f>
        <v>0.19062500000000002</v>
      </c>
      <c r="AW202" s="11">
        <f>IFERROR(AVERAGE(Table2[[#This Row],[gap1]],Table2[[#This Row],[gap2]],Table2[[#This Row],[gap3]],Table2[[#This Row],[gap4]],Table2[[#This Row],[gap5]],Table2[[#This Row],[gap6]],Table2[[#This Row],[gap7]]),"")</f>
        <v>4.6874999999999877E-3</v>
      </c>
      <c r="AX202" s="9">
        <f>IFERROR((Table2[[#This Row],[avg gap]]-starting_interval)*24*60*Table2[[#This Row],[Count]],"NA")</f>
        <v>-13.000000000000069</v>
      </c>
      <c r="AY202" s="69">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0</v>
      </c>
      <c r="AZ202" s="2"/>
    </row>
    <row r="203" spans="1:52" hidden="1" x14ac:dyDescent="0.3">
      <c r="A203" s="10" t="s">
        <v>156</v>
      </c>
      <c r="B203" s="1" t="s">
        <v>397</v>
      </c>
      <c r="C203" s="19">
        <v>13.9</v>
      </c>
      <c r="D203" s="32" t="str">
        <f>_xlfn.IFNA(VLOOKUP(Table2[[#This Row],[Name]],'Classic day 1 - players'!$A$2:$B$64,2,FALSE),"")</f>
        <v/>
      </c>
      <c r="E203" s="33" t="str">
        <f>IF(Table2[[#This Row],[Tee time1]]&lt;&gt;"",COUNTIF('Classic day 1 - players'!$B$2:$B$64,"="&amp;Table2[[#This Row],[Tee time1]]),"")</f>
        <v/>
      </c>
      <c r="F203" s="4" t="str">
        <f>_xlfn.IFNA(VLOOKUP(Table2[[#This Row],[Tee time1]],'Classic day 1 - groups'!$A$3:$F$20,6,FALSE),"")</f>
        <v/>
      </c>
      <c r="G203" s="11" t="str">
        <f>_xlfn.IFNA(VLOOKUP(Table2[[#This Row],[Tee time1]],'Classic day 1 - groups'!$A$3:$F$20,4,FALSE),"")</f>
        <v/>
      </c>
      <c r="H203" s="12" t="str">
        <f>_xlfn.IFNA(VLOOKUP(Table2[[#This Row],[Tee time1]],'Classic day 1 - groups'!$A$3:$F$20,5,FALSE),"")</f>
        <v/>
      </c>
      <c r="I203" s="69" t="str">
        <f>IFERROR((MAX(starting_interval,IF(Table2[[#This Row],[gap1]]="NA",Table2[[#This Row],[avg gap]],Table2[[#This Row],[gap1]]))-starting_interval)*Table2[[#This Row],[followers1]]/Table2[[#This Row],[group size]],"")</f>
        <v/>
      </c>
      <c r="J203" s="32" t="str">
        <f>_xlfn.IFNA(VLOOKUP(Table2[[#This Row],[Name]],'Classic day 2 - players'!$A$2:$B$64,2,FALSE),"")</f>
        <v/>
      </c>
      <c r="K203" s="4" t="str">
        <f>IF(Table2[[#This Row],[tee time2]]&lt;&gt;"",COUNTIF('Classic day 2 - players'!$B$2:$B$64,"="&amp;Table2[[#This Row],[tee time2]]),"")</f>
        <v/>
      </c>
      <c r="L203" s="4" t="str">
        <f>_xlfn.IFNA(VLOOKUP(Table2[[#This Row],[tee time2]],'Classic day 2 - groups'!$A$3:$F$20,6,FALSE),"")</f>
        <v/>
      </c>
      <c r="M203" s="4" t="str">
        <f>_xlfn.IFNA(VLOOKUP(Table2[[#This Row],[tee time2]],'Classic day 2 - groups'!$A$3:$F$20,4,FALSE),"")</f>
        <v/>
      </c>
      <c r="N203" s="65" t="str">
        <f>_xlfn.IFNA(VLOOKUP(Table2[[#This Row],[tee time2]],'Classic day 2 - groups'!$A$3:$F$20,5,FALSE),"")</f>
        <v/>
      </c>
      <c r="O203" s="69" t="str">
        <f>IFERROR((MAX(starting_interval,IF(Table2[[#This Row],[gap2]]="NA",Table2[[#This Row],[avg gap]],Table2[[#This Row],[gap2]]))-starting_interval)*Table2[[#This Row],[followers2]]/Table2[[#This Row],[group size2]],"")</f>
        <v/>
      </c>
      <c r="P203" s="32" t="str">
        <f>_xlfn.IFNA(VLOOKUP(Table2[[#This Row],[Name]],'Summer FD - players'!$A$2:$B$65,2,FALSE),"")</f>
        <v/>
      </c>
      <c r="Q203" s="59" t="str">
        <f>IF(Table2[[#This Row],[tee time3]]&lt;&gt;"",COUNTIF('Summer FD - players'!$B$2:$B$65,"="&amp;Table2[[#This Row],[tee time3]]),"")</f>
        <v/>
      </c>
      <c r="R203" s="59" t="str">
        <f>_xlfn.IFNA(VLOOKUP(Table2[[#This Row],[tee time3]],'Summer FD - groups'!$A$3:$F$20,6,FALSE),"")</f>
        <v/>
      </c>
      <c r="S203" s="4" t="str">
        <f>_xlfn.IFNA(VLOOKUP(Table2[[#This Row],[tee time3]],'Summer FD - groups'!$A$3:$F$20,4,FALSE),"")</f>
        <v/>
      </c>
      <c r="T203" s="13" t="str">
        <f>_xlfn.IFNA(VLOOKUP(Table2[[#This Row],[tee time3]],'Summer FD - groups'!$A$3:$F$20,5,FALSE),"")</f>
        <v/>
      </c>
      <c r="U203" s="69" t="str">
        <f>IF(Table2[[#This Row],[avg gap]]&lt;&gt;"",IFERROR((MAX(starting_interval,IF(Table2[[#This Row],[gap3]]="NA",Table2[[#This Row],[avg gap]],Table2[[#This Row],[gap3]]))-starting_interval)*Table2[[#This Row],[followers3]]/Table2[[#This Row],[group size3]],""),"")</f>
        <v/>
      </c>
      <c r="V203" s="32" t="str">
        <f>_xlfn.IFNA(VLOOKUP(Table2[[#This Row],[Name]],'6-6-6 - players'!$A$2:$B$69,2,FALSE),"")</f>
        <v/>
      </c>
      <c r="W203" s="59" t="str">
        <f>IF(Table2[[#This Row],[tee time4]]&lt;&gt;"",COUNTIF('6-6-6 - players'!$B$2:$B$69,"="&amp;Table2[[#This Row],[tee time4]]),"")</f>
        <v/>
      </c>
      <c r="X203" s="59" t="str">
        <f>_xlfn.IFNA(VLOOKUP(Table2[[#This Row],[tee time4]],'6-6-6 - groups'!$A$3:$F$20,6,FALSE),"")</f>
        <v/>
      </c>
      <c r="Y203" s="4" t="str">
        <f>_xlfn.IFNA(VLOOKUP(Table2[[#This Row],[tee time4]],'6-6-6 - groups'!$A$3:$F$20,4,FALSE),"")</f>
        <v/>
      </c>
      <c r="Z203" s="13" t="str">
        <f>_xlfn.IFNA(VLOOKUP(Table2[[#This Row],[tee time4]],'6-6-6 - groups'!$A$3:$F$20,5,FALSE),"")</f>
        <v/>
      </c>
      <c r="AA203" s="69" t="str">
        <f>IF(Table2[[#This Row],[avg gap]]&lt;&gt;"",IFERROR((MAX(starting_interval,IF(Table2[[#This Row],[gap4]]="NA",Table2[[#This Row],[avg gap]],Table2[[#This Row],[gap4]]))-starting_interval)*Table2[[#This Row],[followers4]]/Table2[[#This Row],[group size4]],""),"")</f>
        <v/>
      </c>
      <c r="AB203" s="32" t="str">
        <f>_xlfn.IFNA(VLOOKUP(Table2[[#This Row],[Name]],'Fall FD - players'!$A$2:$B$65,2,FALSE),"")</f>
        <v/>
      </c>
      <c r="AC203" s="59" t="str">
        <f>IF(Table2[[#This Row],[tee time5]]&lt;&gt;"",COUNTIF('Fall FD - players'!$B$2:$B$65,"="&amp;Table2[[#This Row],[tee time5]]),"")</f>
        <v/>
      </c>
      <c r="AD203" s="59" t="str">
        <f>_xlfn.IFNA(VLOOKUP(Table2[[#This Row],[tee time5]],'Fall FD - groups'!$A$3:$F$20,6,FALSE),"")</f>
        <v/>
      </c>
      <c r="AE203" s="4" t="str">
        <f>_xlfn.IFNA(VLOOKUP(Table2[[#This Row],[tee time5]],'Fall FD - groups'!$A$3:$F$20,4,FALSE),"")</f>
        <v/>
      </c>
      <c r="AF203" s="13" t="str">
        <f>IFERROR(MIN(_xlfn.IFNA(VLOOKUP(Table2[[#This Row],[tee time5]],'Fall FD - groups'!$A$3:$F$20,5,FALSE),""),starting_interval + Table2[[#This Row],[round5]] - standard_round_time),"")</f>
        <v/>
      </c>
      <c r="AG203" s="69" t="str">
        <f>IF(AND(Table2[[#This Row],[gap5]]="NA",Table2[[#This Row],[round5]]&lt;4/24),0,IFERROR((MAX(starting_interval,IF(Table2[[#This Row],[gap5]]="NA",Table2[[#This Row],[avg gap]],Table2[[#This Row],[gap5]]))-starting_interval)*Table2[[#This Row],[followers5]]/Table2[[#This Row],[group size5]],""))</f>
        <v/>
      </c>
      <c r="AH203" s="32" t="str">
        <f>_xlfn.IFNA(VLOOKUP(Table2[[#This Row],[Name]],'Stableford - players'!$A$2:$B$65,2,FALSE),"")</f>
        <v/>
      </c>
      <c r="AI203" s="59" t="str">
        <f>IF(Table2[[#This Row],[tee time6]]&lt;&gt;"",COUNTIF('Stableford - players'!$B$2:$B$65,"="&amp;Table2[[#This Row],[tee time6]]),"")</f>
        <v/>
      </c>
      <c r="AJ203" s="59" t="str">
        <f>_xlfn.IFNA(VLOOKUP(Table2[[#This Row],[tee time6]],'Stableford - groups'!$A$3:$F$20,6,FALSE),"")</f>
        <v/>
      </c>
      <c r="AK203" s="11" t="str">
        <f>_xlfn.IFNA(VLOOKUP(Table2[[#This Row],[tee time6]],'Stableford - groups'!$A$3:$F$20,4,FALSE),"")</f>
        <v/>
      </c>
      <c r="AL203" s="13" t="str">
        <f>_xlfn.IFNA(VLOOKUP(Table2[[#This Row],[tee time6]],'Stableford - groups'!$A$3:$F$20,5,FALSE),"")</f>
        <v/>
      </c>
      <c r="AM203" s="68" t="str">
        <f>IF(AND(Table2[[#This Row],[gap6]]="NA",Table2[[#This Row],[round6]]&lt;4/24),0,IFERROR((MAX(starting_interval,IF(Table2[[#This Row],[gap6]]="NA",Table2[[#This Row],[avg gap]],Table2[[#This Row],[gap6]]))-starting_interval)*Table2[[#This Row],[followers6]]/Table2[[#This Row],[group size6]],""))</f>
        <v/>
      </c>
      <c r="AN203" s="32" t="str">
        <f>_xlfn.IFNA(VLOOKUP(Table2[[#This Row],[Name]],'Turkey Shoot - players'!$A$2:$B$65,2,FALSE),"")</f>
        <v/>
      </c>
      <c r="AO203" s="59" t="str">
        <f>IF(Table2[[#This Row],[tee time7]]&lt;&gt;"",COUNTIF('Turkey Shoot - players'!$B$2:$B$65,"="&amp;Table2[[#This Row],[tee time7]]),"")</f>
        <v/>
      </c>
      <c r="AP203" s="59" t="str">
        <f>_xlfn.IFNA(VLOOKUP(Table2[[#This Row],[tee time7]],'Stableford - groups'!$A$3:$F$20,6,FALSE),"")</f>
        <v/>
      </c>
      <c r="AQ203" s="11" t="str">
        <f>_xlfn.IFNA(VLOOKUP(Table2[[#This Row],[tee time7]],'Turkey Shoot - groups'!$A$3:$F$20,4,FALSE),"")</f>
        <v/>
      </c>
      <c r="AR203" s="13" t="str">
        <f>_xlfn.IFNA(VLOOKUP(Table2[[#This Row],[tee time7]],'Turkey Shoot - groups'!$A$3:$F$20,5,FALSE),"")</f>
        <v/>
      </c>
      <c r="AS203" s="68" t="str">
        <f>IF(AND(Table2[[#This Row],[gap7]]="NA",Table2[[#This Row],[round7]]&lt;4/24),0,IFERROR((MAX(starting_interval,IF(Table2[[#This Row],[gap7]]="NA",Table2[[#This Row],[avg gap]],Table2[[#This Row],[gap7]]))-starting_interval)*Table2[[#This Row],[followers7]]/Table2[[#This Row],[group size7]],""))</f>
        <v/>
      </c>
      <c r="AT203" s="72">
        <f>COUNT(Table2[[#This Row],[Tee time1]],Table2[[#This Row],[tee time2]],Table2[[#This Row],[tee time3]],Table2[[#This Row],[tee time4]],Table2[[#This Row],[tee time5]],Table2[[#This Row],[tee time6]],Table2[[#This Row],[tee time7]])</f>
        <v>0</v>
      </c>
      <c r="AU203" s="4" t="str">
        <f>IFERROR(AVERAGE(Table2[[#This Row],[Tee time1]],Table2[[#This Row],[tee time2]],Table2[[#This Row],[tee time3]],Table2[[#This Row],[tee time4]],Table2[[#This Row],[tee time5]],Table2[[#This Row],[tee time6]],Table2[[#This Row],[tee time7]]),"")</f>
        <v/>
      </c>
      <c r="AV203" s="11" t="str">
        <f>IFERROR(MEDIAN(Table2[[#This Row],[round1]],Table2[[#This Row],[Round2]],Table2[[#This Row],[round3]],Table2[[#This Row],[round4]],Table2[[#This Row],[round5]],Table2[[#This Row],[round6]],Table2[[#This Row],[round7]]),"")</f>
        <v/>
      </c>
      <c r="AW203" s="11" t="str">
        <f>IFERROR(AVERAGE(Table2[[#This Row],[gap1]],Table2[[#This Row],[gap2]],Table2[[#This Row],[gap3]],Table2[[#This Row],[gap4]],Table2[[#This Row],[gap5]],Table2[[#This Row],[gap6]],Table2[[#This Row],[gap7]]),"")</f>
        <v/>
      </c>
      <c r="AX203" s="9" t="str">
        <f>IFERROR((Table2[[#This Row],[avg gap]]-starting_interval)*24*60*Table2[[#This Row],[Count]],"NA")</f>
        <v>NA</v>
      </c>
      <c r="AY203"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03" s="2"/>
    </row>
    <row r="204" spans="1:52" hidden="1" x14ac:dyDescent="0.3">
      <c r="A204" s="10" t="s">
        <v>157</v>
      </c>
      <c r="B204" s="1" t="s">
        <v>398</v>
      </c>
      <c r="C204" s="19">
        <v>13.3</v>
      </c>
      <c r="D204" s="32" t="str">
        <f>_xlfn.IFNA(VLOOKUP(Table2[[#This Row],[Name]],'Classic day 1 - players'!$A$2:$B$64,2,FALSE),"")</f>
        <v/>
      </c>
      <c r="E204" s="33" t="str">
        <f>IF(Table2[[#This Row],[Tee time1]]&lt;&gt;"",COUNTIF('Classic day 1 - players'!$B$2:$B$64,"="&amp;Table2[[#This Row],[Tee time1]]),"")</f>
        <v/>
      </c>
      <c r="F204" s="4" t="str">
        <f>_xlfn.IFNA(VLOOKUP(Table2[[#This Row],[Tee time1]],'Classic day 1 - groups'!$A$3:$F$20,6,FALSE),"")</f>
        <v/>
      </c>
      <c r="G204" s="11" t="str">
        <f>_xlfn.IFNA(VLOOKUP(Table2[[#This Row],[Tee time1]],'Classic day 1 - groups'!$A$3:$F$20,4,FALSE),"")</f>
        <v/>
      </c>
      <c r="H204" s="12" t="str">
        <f>_xlfn.IFNA(VLOOKUP(Table2[[#This Row],[Tee time1]],'Classic day 1 - groups'!$A$3:$F$20,5,FALSE),"")</f>
        <v/>
      </c>
      <c r="I204" s="69" t="str">
        <f>IFERROR((MAX(starting_interval,IF(Table2[[#This Row],[gap1]]="NA",Table2[[#This Row],[avg gap]],Table2[[#This Row],[gap1]]))-starting_interval)*Table2[[#This Row],[followers1]]/Table2[[#This Row],[group size]],"")</f>
        <v/>
      </c>
      <c r="J204" s="32" t="str">
        <f>_xlfn.IFNA(VLOOKUP(Table2[[#This Row],[Name]],'Classic day 2 - players'!$A$2:$B$64,2,FALSE),"")</f>
        <v/>
      </c>
      <c r="K204" s="4" t="str">
        <f>IF(Table2[[#This Row],[tee time2]]&lt;&gt;"",COUNTIF('Classic day 2 - players'!$B$2:$B$64,"="&amp;Table2[[#This Row],[tee time2]]),"")</f>
        <v/>
      </c>
      <c r="L204" s="4" t="str">
        <f>_xlfn.IFNA(VLOOKUP(Table2[[#This Row],[tee time2]],'Classic day 2 - groups'!$A$3:$F$20,6,FALSE),"")</f>
        <v/>
      </c>
      <c r="M204" s="4" t="str">
        <f>_xlfn.IFNA(VLOOKUP(Table2[[#This Row],[tee time2]],'Classic day 2 - groups'!$A$3:$F$20,4,FALSE),"")</f>
        <v/>
      </c>
      <c r="N204" s="65" t="str">
        <f>_xlfn.IFNA(VLOOKUP(Table2[[#This Row],[tee time2]],'Classic day 2 - groups'!$A$3:$F$20,5,FALSE),"")</f>
        <v/>
      </c>
      <c r="O204" s="69" t="str">
        <f>IFERROR((MAX(starting_interval,IF(Table2[[#This Row],[gap2]]="NA",Table2[[#This Row],[avg gap]],Table2[[#This Row],[gap2]]))-starting_interval)*Table2[[#This Row],[followers2]]/Table2[[#This Row],[group size2]],"")</f>
        <v/>
      </c>
      <c r="P204" s="32" t="str">
        <f>_xlfn.IFNA(VLOOKUP(Table2[[#This Row],[Name]],'Summer FD - players'!$A$2:$B$65,2,FALSE),"")</f>
        <v/>
      </c>
      <c r="Q204" s="59" t="str">
        <f>IF(Table2[[#This Row],[tee time3]]&lt;&gt;"",COUNTIF('Summer FD - players'!$B$2:$B$65,"="&amp;Table2[[#This Row],[tee time3]]),"")</f>
        <v/>
      </c>
      <c r="R204" s="59" t="str">
        <f>_xlfn.IFNA(VLOOKUP(Table2[[#This Row],[tee time3]],'Summer FD - groups'!$A$3:$F$20,6,FALSE),"")</f>
        <v/>
      </c>
      <c r="S204" s="4" t="str">
        <f>_xlfn.IFNA(VLOOKUP(Table2[[#This Row],[tee time3]],'Summer FD - groups'!$A$3:$F$20,4,FALSE),"")</f>
        <v/>
      </c>
      <c r="T204" s="13" t="str">
        <f>_xlfn.IFNA(VLOOKUP(Table2[[#This Row],[tee time3]],'Summer FD - groups'!$A$3:$F$20,5,FALSE),"")</f>
        <v/>
      </c>
      <c r="U204" s="69" t="str">
        <f>IF(Table2[[#This Row],[avg gap]]&lt;&gt;"",IFERROR((MAX(starting_interval,IF(Table2[[#This Row],[gap3]]="NA",Table2[[#This Row],[avg gap]],Table2[[#This Row],[gap3]]))-starting_interval)*Table2[[#This Row],[followers3]]/Table2[[#This Row],[group size3]],""),"")</f>
        <v/>
      </c>
      <c r="V204" s="32" t="str">
        <f>_xlfn.IFNA(VLOOKUP(Table2[[#This Row],[Name]],'6-6-6 - players'!$A$2:$B$69,2,FALSE),"")</f>
        <v/>
      </c>
      <c r="W204" s="59" t="str">
        <f>IF(Table2[[#This Row],[tee time4]]&lt;&gt;"",COUNTIF('6-6-6 - players'!$B$2:$B$69,"="&amp;Table2[[#This Row],[tee time4]]),"")</f>
        <v/>
      </c>
      <c r="X204" s="59" t="str">
        <f>_xlfn.IFNA(VLOOKUP(Table2[[#This Row],[tee time4]],'6-6-6 - groups'!$A$3:$F$20,6,FALSE),"")</f>
        <v/>
      </c>
      <c r="Y204" s="4" t="str">
        <f>_xlfn.IFNA(VLOOKUP(Table2[[#This Row],[tee time4]],'6-6-6 - groups'!$A$3:$F$20,4,FALSE),"")</f>
        <v/>
      </c>
      <c r="Z204" s="13" t="str">
        <f>_xlfn.IFNA(VLOOKUP(Table2[[#This Row],[tee time4]],'6-6-6 - groups'!$A$3:$F$20,5,FALSE),"")</f>
        <v/>
      </c>
      <c r="AA204" s="69" t="str">
        <f>IF(Table2[[#This Row],[avg gap]]&lt;&gt;"",IFERROR((MAX(starting_interval,IF(Table2[[#This Row],[gap4]]="NA",Table2[[#This Row],[avg gap]],Table2[[#This Row],[gap4]]))-starting_interval)*Table2[[#This Row],[followers4]]/Table2[[#This Row],[group size4]],""),"")</f>
        <v/>
      </c>
      <c r="AB204" s="32" t="str">
        <f>_xlfn.IFNA(VLOOKUP(Table2[[#This Row],[Name]],'Fall FD - players'!$A$2:$B$65,2,FALSE),"")</f>
        <v/>
      </c>
      <c r="AC204" s="59" t="str">
        <f>IF(Table2[[#This Row],[tee time5]]&lt;&gt;"",COUNTIF('Fall FD - players'!$B$2:$B$65,"="&amp;Table2[[#This Row],[tee time5]]),"")</f>
        <v/>
      </c>
      <c r="AD204" s="59" t="str">
        <f>_xlfn.IFNA(VLOOKUP(Table2[[#This Row],[tee time5]],'Fall FD - groups'!$A$3:$F$20,6,FALSE),"")</f>
        <v/>
      </c>
      <c r="AE204" s="4" t="str">
        <f>_xlfn.IFNA(VLOOKUP(Table2[[#This Row],[tee time5]],'Fall FD - groups'!$A$3:$F$20,4,FALSE),"")</f>
        <v/>
      </c>
      <c r="AF204" s="13" t="str">
        <f>IFERROR(MIN(_xlfn.IFNA(VLOOKUP(Table2[[#This Row],[tee time5]],'Fall FD - groups'!$A$3:$F$20,5,FALSE),""),starting_interval + Table2[[#This Row],[round5]] - standard_round_time),"")</f>
        <v/>
      </c>
      <c r="AG204" s="69" t="str">
        <f>IF(AND(Table2[[#This Row],[gap5]]="NA",Table2[[#This Row],[round5]]&lt;4/24),0,IFERROR((MAX(starting_interval,IF(Table2[[#This Row],[gap5]]="NA",Table2[[#This Row],[avg gap]],Table2[[#This Row],[gap5]]))-starting_interval)*Table2[[#This Row],[followers5]]/Table2[[#This Row],[group size5]],""))</f>
        <v/>
      </c>
      <c r="AH204" s="32" t="str">
        <f>_xlfn.IFNA(VLOOKUP(Table2[[#This Row],[Name]],'Stableford - players'!$A$2:$B$65,2,FALSE),"")</f>
        <v/>
      </c>
      <c r="AI204" s="59" t="str">
        <f>IF(Table2[[#This Row],[tee time6]]&lt;&gt;"",COUNTIF('Stableford - players'!$B$2:$B$65,"="&amp;Table2[[#This Row],[tee time6]]),"")</f>
        <v/>
      </c>
      <c r="AJ204" s="59" t="str">
        <f>_xlfn.IFNA(VLOOKUP(Table2[[#This Row],[tee time6]],'Stableford - groups'!$A$3:$F$20,6,FALSE),"")</f>
        <v/>
      </c>
      <c r="AK204" s="11" t="str">
        <f>_xlfn.IFNA(VLOOKUP(Table2[[#This Row],[tee time6]],'Stableford - groups'!$A$3:$F$20,4,FALSE),"")</f>
        <v/>
      </c>
      <c r="AL204" s="13" t="str">
        <f>_xlfn.IFNA(VLOOKUP(Table2[[#This Row],[tee time6]],'Stableford - groups'!$A$3:$F$20,5,FALSE),"")</f>
        <v/>
      </c>
      <c r="AM204" s="68" t="str">
        <f>IF(AND(Table2[[#This Row],[gap6]]="NA",Table2[[#This Row],[round6]]&lt;4/24),0,IFERROR((MAX(starting_interval,IF(Table2[[#This Row],[gap6]]="NA",Table2[[#This Row],[avg gap]],Table2[[#This Row],[gap6]]))-starting_interval)*Table2[[#This Row],[followers6]]/Table2[[#This Row],[group size6]],""))</f>
        <v/>
      </c>
      <c r="AN204" s="32" t="str">
        <f>_xlfn.IFNA(VLOOKUP(Table2[[#This Row],[Name]],'Turkey Shoot - players'!$A$2:$B$65,2,FALSE),"")</f>
        <v/>
      </c>
      <c r="AO204" s="59" t="str">
        <f>IF(Table2[[#This Row],[tee time7]]&lt;&gt;"",COUNTIF('Turkey Shoot - players'!$B$2:$B$65,"="&amp;Table2[[#This Row],[tee time7]]),"")</f>
        <v/>
      </c>
      <c r="AP204" s="59" t="str">
        <f>_xlfn.IFNA(VLOOKUP(Table2[[#This Row],[tee time7]],'Stableford - groups'!$A$3:$F$20,6,FALSE),"")</f>
        <v/>
      </c>
      <c r="AQ204" s="11" t="str">
        <f>_xlfn.IFNA(VLOOKUP(Table2[[#This Row],[tee time7]],'Turkey Shoot - groups'!$A$3:$F$20,4,FALSE),"")</f>
        <v/>
      </c>
      <c r="AR204" s="13" t="str">
        <f>_xlfn.IFNA(VLOOKUP(Table2[[#This Row],[tee time7]],'Turkey Shoot - groups'!$A$3:$F$20,5,FALSE),"")</f>
        <v/>
      </c>
      <c r="AS204" s="68" t="str">
        <f>IF(AND(Table2[[#This Row],[gap7]]="NA",Table2[[#This Row],[round7]]&lt;4/24),0,IFERROR((MAX(starting_interval,IF(Table2[[#This Row],[gap7]]="NA",Table2[[#This Row],[avg gap]],Table2[[#This Row],[gap7]]))-starting_interval)*Table2[[#This Row],[followers7]]/Table2[[#This Row],[group size7]],""))</f>
        <v/>
      </c>
      <c r="AT204" s="72">
        <f>COUNT(Table2[[#This Row],[Tee time1]],Table2[[#This Row],[tee time2]],Table2[[#This Row],[tee time3]],Table2[[#This Row],[tee time4]],Table2[[#This Row],[tee time5]],Table2[[#This Row],[tee time6]],Table2[[#This Row],[tee time7]])</f>
        <v>0</v>
      </c>
      <c r="AU204" s="4" t="str">
        <f>IFERROR(AVERAGE(Table2[[#This Row],[Tee time1]],Table2[[#This Row],[tee time2]],Table2[[#This Row],[tee time3]],Table2[[#This Row],[tee time4]],Table2[[#This Row],[tee time5]],Table2[[#This Row],[tee time6]],Table2[[#This Row],[tee time7]]),"")</f>
        <v/>
      </c>
      <c r="AV204" s="11" t="str">
        <f>IFERROR(MEDIAN(Table2[[#This Row],[round1]],Table2[[#This Row],[Round2]],Table2[[#This Row],[round3]],Table2[[#This Row],[round4]],Table2[[#This Row],[round5]],Table2[[#This Row],[round6]],Table2[[#This Row],[round7]]),"")</f>
        <v/>
      </c>
      <c r="AW204" s="11" t="str">
        <f>IFERROR(AVERAGE(Table2[[#This Row],[gap1]],Table2[[#This Row],[gap2]],Table2[[#This Row],[gap3]],Table2[[#This Row],[gap4]],Table2[[#This Row],[gap5]],Table2[[#This Row],[gap6]],Table2[[#This Row],[gap7]]),"")</f>
        <v/>
      </c>
      <c r="AX204" s="9" t="str">
        <f>IFERROR((Table2[[#This Row],[avg gap]]-starting_interval)*24*60*Table2[[#This Row],[Count]],"NA")</f>
        <v>NA</v>
      </c>
      <c r="AY204"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04" s="2"/>
    </row>
    <row r="205" spans="1:52" hidden="1" x14ac:dyDescent="0.3">
      <c r="A205" s="10" t="s">
        <v>159</v>
      </c>
      <c r="B205" s="1" t="s">
        <v>399</v>
      </c>
      <c r="C205" s="19">
        <v>12.4</v>
      </c>
      <c r="D205" s="32" t="str">
        <f>_xlfn.IFNA(VLOOKUP(Table2[[#This Row],[Name]],'Classic day 1 - players'!$A$2:$B$64,2,FALSE),"")</f>
        <v/>
      </c>
      <c r="E205" s="33" t="str">
        <f>IF(Table2[[#This Row],[Tee time1]]&lt;&gt;"",COUNTIF('Classic day 1 - players'!$B$2:$B$64,"="&amp;Table2[[#This Row],[Tee time1]]),"")</f>
        <v/>
      </c>
      <c r="F205" s="4" t="str">
        <f>_xlfn.IFNA(VLOOKUP(Table2[[#This Row],[Tee time1]],'Classic day 1 - groups'!$A$3:$F$20,6,FALSE),"")</f>
        <v/>
      </c>
      <c r="G205" s="11" t="str">
        <f>_xlfn.IFNA(VLOOKUP(Table2[[#This Row],[Tee time1]],'Classic day 1 - groups'!$A$3:$F$20,4,FALSE),"")</f>
        <v/>
      </c>
      <c r="H205" s="12" t="str">
        <f>_xlfn.IFNA(VLOOKUP(Table2[[#This Row],[Tee time1]],'Classic day 1 - groups'!$A$3:$F$20,5,FALSE),"")</f>
        <v/>
      </c>
      <c r="I205" s="69" t="str">
        <f>IFERROR((MAX(starting_interval,IF(Table2[[#This Row],[gap1]]="NA",Table2[[#This Row],[avg gap]],Table2[[#This Row],[gap1]]))-starting_interval)*Table2[[#This Row],[followers1]]/Table2[[#This Row],[group size]],"")</f>
        <v/>
      </c>
      <c r="J205" s="32" t="str">
        <f>_xlfn.IFNA(VLOOKUP(Table2[[#This Row],[Name]],'Classic day 2 - players'!$A$2:$B$64,2,FALSE),"")</f>
        <v/>
      </c>
      <c r="K205" s="4" t="str">
        <f>IF(Table2[[#This Row],[tee time2]]&lt;&gt;"",COUNTIF('Classic day 2 - players'!$B$2:$B$64,"="&amp;Table2[[#This Row],[tee time2]]),"")</f>
        <v/>
      </c>
      <c r="L205" s="4" t="str">
        <f>_xlfn.IFNA(VLOOKUP(Table2[[#This Row],[tee time2]],'Classic day 2 - groups'!$A$3:$F$20,6,FALSE),"")</f>
        <v/>
      </c>
      <c r="M205" s="4" t="str">
        <f>_xlfn.IFNA(VLOOKUP(Table2[[#This Row],[tee time2]],'Classic day 2 - groups'!$A$3:$F$20,4,FALSE),"")</f>
        <v/>
      </c>
      <c r="N205" s="65" t="str">
        <f>_xlfn.IFNA(VLOOKUP(Table2[[#This Row],[tee time2]],'Classic day 2 - groups'!$A$3:$F$20,5,FALSE),"")</f>
        <v/>
      </c>
      <c r="O205" s="69" t="str">
        <f>IFERROR((MAX(starting_interval,IF(Table2[[#This Row],[gap2]]="NA",Table2[[#This Row],[avg gap]],Table2[[#This Row],[gap2]]))-starting_interval)*Table2[[#This Row],[followers2]]/Table2[[#This Row],[group size2]],"")</f>
        <v/>
      </c>
      <c r="P205" s="32" t="str">
        <f>_xlfn.IFNA(VLOOKUP(Table2[[#This Row],[Name]],'Summer FD - players'!$A$2:$B$65,2,FALSE),"")</f>
        <v/>
      </c>
      <c r="Q205" s="59" t="str">
        <f>IF(Table2[[#This Row],[tee time3]]&lt;&gt;"",COUNTIF('Summer FD - players'!$B$2:$B$65,"="&amp;Table2[[#This Row],[tee time3]]),"")</f>
        <v/>
      </c>
      <c r="R205" s="59" t="str">
        <f>_xlfn.IFNA(VLOOKUP(Table2[[#This Row],[tee time3]],'Summer FD - groups'!$A$3:$F$20,6,FALSE),"")</f>
        <v/>
      </c>
      <c r="S205" s="4" t="str">
        <f>_xlfn.IFNA(VLOOKUP(Table2[[#This Row],[tee time3]],'Summer FD - groups'!$A$3:$F$20,4,FALSE),"")</f>
        <v/>
      </c>
      <c r="T205" s="13" t="str">
        <f>_xlfn.IFNA(VLOOKUP(Table2[[#This Row],[tee time3]],'Summer FD - groups'!$A$3:$F$20,5,FALSE),"")</f>
        <v/>
      </c>
      <c r="U205" s="69" t="str">
        <f>IF(Table2[[#This Row],[avg gap]]&lt;&gt;"",IFERROR((MAX(starting_interval,IF(Table2[[#This Row],[gap3]]="NA",Table2[[#This Row],[avg gap]],Table2[[#This Row],[gap3]]))-starting_interval)*Table2[[#This Row],[followers3]]/Table2[[#This Row],[group size3]],""),"")</f>
        <v/>
      </c>
      <c r="V205" s="32" t="str">
        <f>_xlfn.IFNA(VLOOKUP(Table2[[#This Row],[Name]],'6-6-6 - players'!$A$2:$B$69,2,FALSE),"")</f>
        <v/>
      </c>
      <c r="W205" s="59" t="str">
        <f>IF(Table2[[#This Row],[tee time4]]&lt;&gt;"",COUNTIF('6-6-6 - players'!$B$2:$B$69,"="&amp;Table2[[#This Row],[tee time4]]),"")</f>
        <v/>
      </c>
      <c r="X205" s="59" t="str">
        <f>_xlfn.IFNA(VLOOKUP(Table2[[#This Row],[tee time4]],'6-6-6 - groups'!$A$3:$F$20,6,FALSE),"")</f>
        <v/>
      </c>
      <c r="Y205" s="4" t="str">
        <f>_xlfn.IFNA(VLOOKUP(Table2[[#This Row],[tee time4]],'6-6-6 - groups'!$A$3:$F$20,4,FALSE),"")</f>
        <v/>
      </c>
      <c r="Z205" s="13" t="str">
        <f>_xlfn.IFNA(VLOOKUP(Table2[[#This Row],[tee time4]],'6-6-6 - groups'!$A$3:$F$20,5,FALSE),"")</f>
        <v/>
      </c>
      <c r="AA205" s="69" t="str">
        <f>IF(Table2[[#This Row],[avg gap]]&lt;&gt;"",IFERROR((MAX(starting_interval,IF(Table2[[#This Row],[gap4]]="NA",Table2[[#This Row],[avg gap]],Table2[[#This Row],[gap4]]))-starting_interval)*Table2[[#This Row],[followers4]]/Table2[[#This Row],[group size4]],""),"")</f>
        <v/>
      </c>
      <c r="AB205" s="32" t="str">
        <f>_xlfn.IFNA(VLOOKUP(Table2[[#This Row],[Name]],'Fall FD - players'!$A$2:$B$65,2,FALSE),"")</f>
        <v/>
      </c>
      <c r="AC205" s="59" t="str">
        <f>IF(Table2[[#This Row],[tee time5]]&lt;&gt;"",COUNTIF('Fall FD - players'!$B$2:$B$65,"="&amp;Table2[[#This Row],[tee time5]]),"")</f>
        <v/>
      </c>
      <c r="AD205" s="59" t="str">
        <f>_xlfn.IFNA(VLOOKUP(Table2[[#This Row],[tee time5]],'Fall FD - groups'!$A$3:$F$20,6,FALSE),"")</f>
        <v/>
      </c>
      <c r="AE205" s="4" t="str">
        <f>_xlfn.IFNA(VLOOKUP(Table2[[#This Row],[tee time5]],'Fall FD - groups'!$A$3:$F$20,4,FALSE),"")</f>
        <v/>
      </c>
      <c r="AF205" s="13" t="str">
        <f>IFERROR(MIN(_xlfn.IFNA(VLOOKUP(Table2[[#This Row],[tee time5]],'Fall FD - groups'!$A$3:$F$20,5,FALSE),""),starting_interval + Table2[[#This Row],[round5]] - standard_round_time),"")</f>
        <v/>
      </c>
      <c r="AG205" s="69" t="str">
        <f>IF(AND(Table2[[#This Row],[gap5]]="NA",Table2[[#This Row],[round5]]&lt;4/24),0,IFERROR((MAX(starting_interval,IF(Table2[[#This Row],[gap5]]="NA",Table2[[#This Row],[avg gap]],Table2[[#This Row],[gap5]]))-starting_interval)*Table2[[#This Row],[followers5]]/Table2[[#This Row],[group size5]],""))</f>
        <v/>
      </c>
      <c r="AH205" s="32" t="str">
        <f>_xlfn.IFNA(VLOOKUP(Table2[[#This Row],[Name]],'Stableford - players'!$A$2:$B$65,2,FALSE),"")</f>
        <v/>
      </c>
      <c r="AI205" s="59" t="str">
        <f>IF(Table2[[#This Row],[tee time6]]&lt;&gt;"",COUNTIF('Stableford - players'!$B$2:$B$65,"="&amp;Table2[[#This Row],[tee time6]]),"")</f>
        <v/>
      </c>
      <c r="AJ205" s="59" t="str">
        <f>_xlfn.IFNA(VLOOKUP(Table2[[#This Row],[tee time6]],'Stableford - groups'!$A$3:$F$20,6,FALSE),"")</f>
        <v/>
      </c>
      <c r="AK205" s="11" t="str">
        <f>_xlfn.IFNA(VLOOKUP(Table2[[#This Row],[tee time6]],'Stableford - groups'!$A$3:$F$20,4,FALSE),"")</f>
        <v/>
      </c>
      <c r="AL205" s="13" t="str">
        <f>_xlfn.IFNA(VLOOKUP(Table2[[#This Row],[tee time6]],'Stableford - groups'!$A$3:$F$20,5,FALSE),"")</f>
        <v/>
      </c>
      <c r="AM205" s="68" t="str">
        <f>IF(AND(Table2[[#This Row],[gap6]]="NA",Table2[[#This Row],[round6]]&lt;4/24),0,IFERROR((MAX(starting_interval,IF(Table2[[#This Row],[gap6]]="NA",Table2[[#This Row],[avg gap]],Table2[[#This Row],[gap6]]))-starting_interval)*Table2[[#This Row],[followers6]]/Table2[[#This Row],[group size6]],""))</f>
        <v/>
      </c>
      <c r="AN205" s="32" t="str">
        <f>_xlfn.IFNA(VLOOKUP(Table2[[#This Row],[Name]],'Turkey Shoot - players'!$A$2:$B$65,2,FALSE),"")</f>
        <v/>
      </c>
      <c r="AO205" s="59" t="str">
        <f>IF(Table2[[#This Row],[tee time7]]&lt;&gt;"",COUNTIF('Turkey Shoot - players'!$B$2:$B$65,"="&amp;Table2[[#This Row],[tee time7]]),"")</f>
        <v/>
      </c>
      <c r="AP205" s="59" t="str">
        <f>_xlfn.IFNA(VLOOKUP(Table2[[#This Row],[tee time7]],'Stableford - groups'!$A$3:$F$20,6,FALSE),"")</f>
        <v/>
      </c>
      <c r="AQ205" s="11" t="str">
        <f>_xlfn.IFNA(VLOOKUP(Table2[[#This Row],[tee time7]],'Turkey Shoot - groups'!$A$3:$F$20,4,FALSE),"")</f>
        <v/>
      </c>
      <c r="AR205" s="13" t="str">
        <f>_xlfn.IFNA(VLOOKUP(Table2[[#This Row],[tee time7]],'Turkey Shoot - groups'!$A$3:$F$20,5,FALSE),"")</f>
        <v/>
      </c>
      <c r="AS205" s="68" t="str">
        <f>IF(AND(Table2[[#This Row],[gap7]]="NA",Table2[[#This Row],[round7]]&lt;4/24),0,IFERROR((MAX(starting_interval,IF(Table2[[#This Row],[gap7]]="NA",Table2[[#This Row],[avg gap]],Table2[[#This Row],[gap7]]))-starting_interval)*Table2[[#This Row],[followers7]]/Table2[[#This Row],[group size7]],""))</f>
        <v/>
      </c>
      <c r="AT205" s="72">
        <f>COUNT(Table2[[#This Row],[Tee time1]],Table2[[#This Row],[tee time2]],Table2[[#This Row],[tee time3]],Table2[[#This Row],[tee time4]],Table2[[#This Row],[tee time5]],Table2[[#This Row],[tee time6]],Table2[[#This Row],[tee time7]])</f>
        <v>0</v>
      </c>
      <c r="AU205" s="4" t="str">
        <f>IFERROR(AVERAGE(Table2[[#This Row],[Tee time1]],Table2[[#This Row],[tee time2]],Table2[[#This Row],[tee time3]],Table2[[#This Row],[tee time4]],Table2[[#This Row],[tee time5]],Table2[[#This Row],[tee time6]],Table2[[#This Row],[tee time7]]),"")</f>
        <v/>
      </c>
      <c r="AV205" s="11" t="str">
        <f>IFERROR(MEDIAN(Table2[[#This Row],[round1]],Table2[[#This Row],[Round2]],Table2[[#This Row],[round3]],Table2[[#This Row],[round4]],Table2[[#This Row],[round5]],Table2[[#This Row],[round6]],Table2[[#This Row],[round7]]),"")</f>
        <v/>
      </c>
      <c r="AW205" s="11" t="str">
        <f>IFERROR(AVERAGE(Table2[[#This Row],[gap1]],Table2[[#This Row],[gap2]],Table2[[#This Row],[gap3]],Table2[[#This Row],[gap4]],Table2[[#This Row],[gap5]],Table2[[#This Row],[gap6]],Table2[[#This Row],[gap7]]),"")</f>
        <v/>
      </c>
      <c r="AX205" s="9" t="str">
        <f>IFERROR((Table2[[#This Row],[avg gap]]-starting_interval)*24*60*Table2[[#This Row],[Count]],"NA")</f>
        <v>NA</v>
      </c>
      <c r="AY205"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05" s="2"/>
    </row>
    <row r="206" spans="1:52" hidden="1" x14ac:dyDescent="0.3">
      <c r="A206" s="10" t="s">
        <v>160</v>
      </c>
      <c r="B206" s="1" t="s">
        <v>400</v>
      </c>
      <c r="C206" s="19">
        <v>9.3000000000000007</v>
      </c>
      <c r="D206" s="32" t="str">
        <f>_xlfn.IFNA(VLOOKUP(Table2[[#This Row],[Name]],'Classic day 1 - players'!$A$2:$B$64,2,FALSE),"")</f>
        <v/>
      </c>
      <c r="E206" s="33" t="str">
        <f>IF(Table2[[#This Row],[Tee time1]]&lt;&gt;"",COUNTIF('Classic day 1 - players'!$B$2:$B$64,"="&amp;Table2[[#This Row],[Tee time1]]),"")</f>
        <v/>
      </c>
      <c r="F206" s="4" t="str">
        <f>_xlfn.IFNA(VLOOKUP(Table2[[#This Row],[Tee time1]],'Classic day 1 - groups'!$A$3:$F$20,6,FALSE),"")</f>
        <v/>
      </c>
      <c r="G206" s="11" t="str">
        <f>_xlfn.IFNA(VLOOKUP(Table2[[#This Row],[Tee time1]],'Classic day 1 - groups'!$A$3:$F$20,4,FALSE),"")</f>
        <v/>
      </c>
      <c r="H206" s="12" t="str">
        <f>_xlfn.IFNA(VLOOKUP(Table2[[#This Row],[Tee time1]],'Classic day 1 - groups'!$A$3:$F$20,5,FALSE),"")</f>
        <v/>
      </c>
      <c r="I206" s="69" t="str">
        <f>IFERROR((MAX(starting_interval,IF(Table2[[#This Row],[gap1]]="NA",Table2[[#This Row],[avg gap]],Table2[[#This Row],[gap1]]))-starting_interval)*Table2[[#This Row],[followers1]]/Table2[[#This Row],[group size]],"")</f>
        <v/>
      </c>
      <c r="J206" s="32" t="str">
        <f>_xlfn.IFNA(VLOOKUP(Table2[[#This Row],[Name]],'Classic day 2 - players'!$A$2:$B$64,2,FALSE),"")</f>
        <v/>
      </c>
      <c r="K206" s="4" t="str">
        <f>IF(Table2[[#This Row],[tee time2]]&lt;&gt;"",COUNTIF('Classic day 2 - players'!$B$2:$B$64,"="&amp;Table2[[#This Row],[tee time2]]),"")</f>
        <v/>
      </c>
      <c r="L206" s="4" t="str">
        <f>_xlfn.IFNA(VLOOKUP(Table2[[#This Row],[tee time2]],'Classic day 2 - groups'!$A$3:$F$20,6,FALSE),"")</f>
        <v/>
      </c>
      <c r="M206" s="4" t="str">
        <f>_xlfn.IFNA(VLOOKUP(Table2[[#This Row],[tee time2]],'Classic day 2 - groups'!$A$3:$F$20,4,FALSE),"")</f>
        <v/>
      </c>
      <c r="N206" s="65" t="str">
        <f>_xlfn.IFNA(VLOOKUP(Table2[[#This Row],[tee time2]],'Classic day 2 - groups'!$A$3:$F$20,5,FALSE),"")</f>
        <v/>
      </c>
      <c r="O206" s="69" t="str">
        <f>IFERROR((MAX(starting_interval,IF(Table2[[#This Row],[gap2]]="NA",Table2[[#This Row],[avg gap]],Table2[[#This Row],[gap2]]))-starting_interval)*Table2[[#This Row],[followers2]]/Table2[[#This Row],[group size2]],"")</f>
        <v/>
      </c>
      <c r="P206" s="32" t="str">
        <f>_xlfn.IFNA(VLOOKUP(Table2[[#This Row],[Name]],'Summer FD - players'!$A$2:$B$65,2,FALSE),"")</f>
        <v/>
      </c>
      <c r="Q206" s="59" t="str">
        <f>IF(Table2[[#This Row],[tee time3]]&lt;&gt;"",COUNTIF('Summer FD - players'!$B$2:$B$65,"="&amp;Table2[[#This Row],[tee time3]]),"")</f>
        <v/>
      </c>
      <c r="R206" s="59" t="str">
        <f>_xlfn.IFNA(VLOOKUP(Table2[[#This Row],[tee time3]],'Summer FD - groups'!$A$3:$F$20,6,FALSE),"")</f>
        <v/>
      </c>
      <c r="S206" s="4" t="str">
        <f>_xlfn.IFNA(VLOOKUP(Table2[[#This Row],[tee time3]],'Summer FD - groups'!$A$3:$F$20,4,FALSE),"")</f>
        <v/>
      </c>
      <c r="T206" s="13" t="str">
        <f>_xlfn.IFNA(VLOOKUP(Table2[[#This Row],[tee time3]],'Summer FD - groups'!$A$3:$F$20,5,FALSE),"")</f>
        <v/>
      </c>
      <c r="U206" s="69" t="str">
        <f>IF(Table2[[#This Row],[avg gap]]&lt;&gt;"",IFERROR((MAX(starting_interval,IF(Table2[[#This Row],[gap3]]="NA",Table2[[#This Row],[avg gap]],Table2[[#This Row],[gap3]]))-starting_interval)*Table2[[#This Row],[followers3]]/Table2[[#This Row],[group size3]],""),"")</f>
        <v/>
      </c>
      <c r="V206" s="32" t="str">
        <f>_xlfn.IFNA(VLOOKUP(Table2[[#This Row],[Name]],'6-6-6 - players'!$A$2:$B$69,2,FALSE),"")</f>
        <v/>
      </c>
      <c r="W206" s="59" t="str">
        <f>IF(Table2[[#This Row],[tee time4]]&lt;&gt;"",COUNTIF('6-6-6 - players'!$B$2:$B$69,"="&amp;Table2[[#This Row],[tee time4]]),"")</f>
        <v/>
      </c>
      <c r="X206" s="59" t="str">
        <f>_xlfn.IFNA(VLOOKUP(Table2[[#This Row],[tee time4]],'6-6-6 - groups'!$A$3:$F$20,6,FALSE),"")</f>
        <v/>
      </c>
      <c r="Y206" s="4" t="str">
        <f>_xlfn.IFNA(VLOOKUP(Table2[[#This Row],[tee time4]],'6-6-6 - groups'!$A$3:$F$20,4,FALSE),"")</f>
        <v/>
      </c>
      <c r="Z206" s="13" t="str">
        <f>_xlfn.IFNA(VLOOKUP(Table2[[#This Row],[tee time4]],'6-6-6 - groups'!$A$3:$F$20,5,FALSE),"")</f>
        <v/>
      </c>
      <c r="AA206" s="69" t="str">
        <f>IF(Table2[[#This Row],[avg gap]]&lt;&gt;"",IFERROR((MAX(starting_interval,IF(Table2[[#This Row],[gap4]]="NA",Table2[[#This Row],[avg gap]],Table2[[#This Row],[gap4]]))-starting_interval)*Table2[[#This Row],[followers4]]/Table2[[#This Row],[group size4]],""),"")</f>
        <v/>
      </c>
      <c r="AB206" s="32" t="str">
        <f>_xlfn.IFNA(VLOOKUP(Table2[[#This Row],[Name]],'Fall FD - players'!$A$2:$B$65,2,FALSE),"")</f>
        <v/>
      </c>
      <c r="AC206" s="59" t="str">
        <f>IF(Table2[[#This Row],[tee time5]]&lt;&gt;"",COUNTIF('Fall FD - players'!$B$2:$B$65,"="&amp;Table2[[#This Row],[tee time5]]),"")</f>
        <v/>
      </c>
      <c r="AD206" s="59" t="str">
        <f>_xlfn.IFNA(VLOOKUP(Table2[[#This Row],[tee time5]],'Fall FD - groups'!$A$3:$F$20,6,FALSE),"")</f>
        <v/>
      </c>
      <c r="AE206" s="4" t="str">
        <f>_xlfn.IFNA(VLOOKUP(Table2[[#This Row],[tee time5]],'Fall FD - groups'!$A$3:$F$20,4,FALSE),"")</f>
        <v/>
      </c>
      <c r="AF206" s="13" t="str">
        <f>IFERROR(MIN(_xlfn.IFNA(VLOOKUP(Table2[[#This Row],[tee time5]],'Fall FD - groups'!$A$3:$F$20,5,FALSE),""),starting_interval + Table2[[#This Row],[round5]] - standard_round_time),"")</f>
        <v/>
      </c>
      <c r="AG206" s="69" t="str">
        <f>IF(AND(Table2[[#This Row],[gap5]]="NA",Table2[[#This Row],[round5]]&lt;4/24),0,IFERROR((MAX(starting_interval,IF(Table2[[#This Row],[gap5]]="NA",Table2[[#This Row],[avg gap]],Table2[[#This Row],[gap5]]))-starting_interval)*Table2[[#This Row],[followers5]]/Table2[[#This Row],[group size5]],""))</f>
        <v/>
      </c>
      <c r="AH206" s="32" t="str">
        <f>_xlfn.IFNA(VLOOKUP(Table2[[#This Row],[Name]],'Stableford - players'!$A$2:$B$65,2,FALSE),"")</f>
        <v/>
      </c>
      <c r="AI206" s="59" t="str">
        <f>IF(Table2[[#This Row],[tee time6]]&lt;&gt;"",COUNTIF('Stableford - players'!$B$2:$B$65,"="&amp;Table2[[#This Row],[tee time6]]),"")</f>
        <v/>
      </c>
      <c r="AJ206" s="59" t="str">
        <f>_xlfn.IFNA(VLOOKUP(Table2[[#This Row],[tee time6]],'Stableford - groups'!$A$3:$F$20,6,FALSE),"")</f>
        <v/>
      </c>
      <c r="AK206" s="11" t="str">
        <f>_xlfn.IFNA(VLOOKUP(Table2[[#This Row],[tee time6]],'Stableford - groups'!$A$3:$F$20,4,FALSE),"")</f>
        <v/>
      </c>
      <c r="AL206" s="13" t="str">
        <f>_xlfn.IFNA(VLOOKUP(Table2[[#This Row],[tee time6]],'Stableford - groups'!$A$3:$F$20,5,FALSE),"")</f>
        <v/>
      </c>
      <c r="AM206" s="68" t="str">
        <f>IF(AND(Table2[[#This Row],[gap6]]="NA",Table2[[#This Row],[round6]]&lt;4/24),0,IFERROR((MAX(starting_interval,IF(Table2[[#This Row],[gap6]]="NA",Table2[[#This Row],[avg gap]],Table2[[#This Row],[gap6]]))-starting_interval)*Table2[[#This Row],[followers6]]/Table2[[#This Row],[group size6]],""))</f>
        <v/>
      </c>
      <c r="AN206" s="32" t="str">
        <f>_xlfn.IFNA(VLOOKUP(Table2[[#This Row],[Name]],'Turkey Shoot - players'!$A$2:$B$65,2,FALSE),"")</f>
        <v/>
      </c>
      <c r="AO206" s="59" t="str">
        <f>IF(Table2[[#This Row],[tee time7]]&lt;&gt;"",COUNTIF('Turkey Shoot - players'!$B$2:$B$65,"="&amp;Table2[[#This Row],[tee time7]]),"")</f>
        <v/>
      </c>
      <c r="AP206" s="59" t="str">
        <f>_xlfn.IFNA(VLOOKUP(Table2[[#This Row],[tee time7]],'Stableford - groups'!$A$3:$F$20,6,FALSE),"")</f>
        <v/>
      </c>
      <c r="AQ206" s="11" t="str">
        <f>_xlfn.IFNA(VLOOKUP(Table2[[#This Row],[tee time7]],'Turkey Shoot - groups'!$A$3:$F$20,4,FALSE),"")</f>
        <v/>
      </c>
      <c r="AR206" s="13" t="str">
        <f>_xlfn.IFNA(VLOOKUP(Table2[[#This Row],[tee time7]],'Turkey Shoot - groups'!$A$3:$F$20,5,FALSE),"")</f>
        <v/>
      </c>
      <c r="AS206" s="68" t="str">
        <f>IF(AND(Table2[[#This Row],[gap7]]="NA",Table2[[#This Row],[round7]]&lt;4/24),0,IFERROR((MAX(starting_interval,IF(Table2[[#This Row],[gap7]]="NA",Table2[[#This Row],[avg gap]],Table2[[#This Row],[gap7]]))-starting_interval)*Table2[[#This Row],[followers7]]/Table2[[#This Row],[group size7]],""))</f>
        <v/>
      </c>
      <c r="AT206" s="72">
        <f>COUNT(Table2[[#This Row],[Tee time1]],Table2[[#This Row],[tee time2]],Table2[[#This Row],[tee time3]],Table2[[#This Row],[tee time4]],Table2[[#This Row],[tee time5]],Table2[[#This Row],[tee time6]],Table2[[#This Row],[tee time7]])</f>
        <v>0</v>
      </c>
      <c r="AU206" s="4" t="str">
        <f>IFERROR(AVERAGE(Table2[[#This Row],[Tee time1]],Table2[[#This Row],[tee time2]],Table2[[#This Row],[tee time3]],Table2[[#This Row],[tee time4]],Table2[[#This Row],[tee time5]],Table2[[#This Row],[tee time6]],Table2[[#This Row],[tee time7]]),"")</f>
        <v/>
      </c>
      <c r="AV206" s="11" t="str">
        <f>IFERROR(MEDIAN(Table2[[#This Row],[round1]],Table2[[#This Row],[Round2]],Table2[[#This Row],[round3]],Table2[[#This Row],[round4]],Table2[[#This Row],[round5]],Table2[[#This Row],[round6]],Table2[[#This Row],[round7]]),"")</f>
        <v/>
      </c>
      <c r="AW206" s="11" t="str">
        <f>IFERROR(AVERAGE(Table2[[#This Row],[gap1]],Table2[[#This Row],[gap2]],Table2[[#This Row],[gap3]],Table2[[#This Row],[gap4]],Table2[[#This Row],[gap5]],Table2[[#This Row],[gap6]],Table2[[#This Row],[gap7]]),"")</f>
        <v/>
      </c>
      <c r="AX206" s="9" t="str">
        <f>IFERROR((Table2[[#This Row],[avg gap]]-starting_interval)*24*60*Table2[[#This Row],[Count]],"NA")</f>
        <v>NA</v>
      </c>
      <c r="AY206"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06" s="2"/>
    </row>
    <row r="207" spans="1:52" hidden="1" x14ac:dyDescent="0.3">
      <c r="A207" s="10" t="s">
        <v>161</v>
      </c>
      <c r="B207" s="1" t="s">
        <v>401</v>
      </c>
      <c r="C207" s="19">
        <v>10.5</v>
      </c>
      <c r="D207" s="32" t="str">
        <f>_xlfn.IFNA(VLOOKUP(Table2[[#This Row],[Name]],'Classic day 1 - players'!$A$2:$B$64,2,FALSE),"")</f>
        <v/>
      </c>
      <c r="E207" s="33" t="str">
        <f>IF(Table2[[#This Row],[Tee time1]]&lt;&gt;"",COUNTIF('Classic day 1 - players'!$B$2:$B$64,"="&amp;Table2[[#This Row],[Tee time1]]),"")</f>
        <v/>
      </c>
      <c r="F207" s="4" t="str">
        <f>_xlfn.IFNA(VLOOKUP(Table2[[#This Row],[Tee time1]],'Classic day 1 - groups'!$A$3:$F$20,6,FALSE),"")</f>
        <v/>
      </c>
      <c r="G207" s="11" t="str">
        <f>_xlfn.IFNA(VLOOKUP(Table2[[#This Row],[Tee time1]],'Classic day 1 - groups'!$A$3:$F$20,4,FALSE),"")</f>
        <v/>
      </c>
      <c r="H207" s="12" t="str">
        <f>_xlfn.IFNA(VLOOKUP(Table2[[#This Row],[Tee time1]],'Classic day 1 - groups'!$A$3:$F$20,5,FALSE),"")</f>
        <v/>
      </c>
      <c r="I207" s="69" t="str">
        <f>IFERROR((MAX(starting_interval,IF(Table2[[#This Row],[gap1]]="NA",Table2[[#This Row],[avg gap]],Table2[[#This Row],[gap1]]))-starting_interval)*Table2[[#This Row],[followers1]]/Table2[[#This Row],[group size]],"")</f>
        <v/>
      </c>
      <c r="J207" s="32" t="str">
        <f>_xlfn.IFNA(VLOOKUP(Table2[[#This Row],[Name]],'Classic day 2 - players'!$A$2:$B$64,2,FALSE),"")</f>
        <v/>
      </c>
      <c r="K207" s="4" t="str">
        <f>IF(Table2[[#This Row],[tee time2]]&lt;&gt;"",COUNTIF('Classic day 2 - players'!$B$2:$B$64,"="&amp;Table2[[#This Row],[tee time2]]),"")</f>
        <v/>
      </c>
      <c r="L207" s="4" t="str">
        <f>_xlfn.IFNA(VLOOKUP(Table2[[#This Row],[tee time2]],'Classic day 2 - groups'!$A$3:$F$20,6,FALSE),"")</f>
        <v/>
      </c>
      <c r="M207" s="4" t="str">
        <f>_xlfn.IFNA(VLOOKUP(Table2[[#This Row],[tee time2]],'Classic day 2 - groups'!$A$3:$F$20,4,FALSE),"")</f>
        <v/>
      </c>
      <c r="N207" s="65" t="str">
        <f>_xlfn.IFNA(VLOOKUP(Table2[[#This Row],[tee time2]],'Classic day 2 - groups'!$A$3:$F$20,5,FALSE),"")</f>
        <v/>
      </c>
      <c r="O207" s="69" t="str">
        <f>IFERROR((MAX(starting_interval,IF(Table2[[#This Row],[gap2]]="NA",Table2[[#This Row],[avg gap]],Table2[[#This Row],[gap2]]))-starting_interval)*Table2[[#This Row],[followers2]]/Table2[[#This Row],[group size2]],"")</f>
        <v/>
      </c>
      <c r="P207" s="32" t="str">
        <f>_xlfn.IFNA(VLOOKUP(Table2[[#This Row],[Name]],'Summer FD - players'!$A$2:$B$65,2,FALSE),"")</f>
        <v/>
      </c>
      <c r="Q207" s="59" t="str">
        <f>IF(Table2[[#This Row],[tee time3]]&lt;&gt;"",COUNTIF('Summer FD - players'!$B$2:$B$65,"="&amp;Table2[[#This Row],[tee time3]]),"")</f>
        <v/>
      </c>
      <c r="R207" s="59" t="str">
        <f>_xlfn.IFNA(VLOOKUP(Table2[[#This Row],[tee time3]],'Summer FD - groups'!$A$3:$F$20,6,FALSE),"")</f>
        <v/>
      </c>
      <c r="S207" s="4" t="str">
        <f>_xlfn.IFNA(VLOOKUP(Table2[[#This Row],[tee time3]],'Summer FD - groups'!$A$3:$F$20,4,FALSE),"")</f>
        <v/>
      </c>
      <c r="T207" s="13" t="str">
        <f>_xlfn.IFNA(VLOOKUP(Table2[[#This Row],[tee time3]],'Summer FD - groups'!$A$3:$F$20,5,FALSE),"")</f>
        <v/>
      </c>
      <c r="U207" s="69" t="str">
        <f>IF(Table2[[#This Row],[avg gap]]&lt;&gt;"",IFERROR((MAX(starting_interval,IF(Table2[[#This Row],[gap3]]="NA",Table2[[#This Row],[avg gap]],Table2[[#This Row],[gap3]]))-starting_interval)*Table2[[#This Row],[followers3]]/Table2[[#This Row],[group size3]],""),"")</f>
        <v/>
      </c>
      <c r="V207" s="32" t="str">
        <f>_xlfn.IFNA(VLOOKUP(Table2[[#This Row],[Name]],'6-6-6 - players'!$A$2:$B$69,2,FALSE),"")</f>
        <v/>
      </c>
      <c r="W207" s="59" t="str">
        <f>IF(Table2[[#This Row],[tee time4]]&lt;&gt;"",COUNTIF('6-6-6 - players'!$B$2:$B$69,"="&amp;Table2[[#This Row],[tee time4]]),"")</f>
        <v/>
      </c>
      <c r="X207" s="59" t="str">
        <f>_xlfn.IFNA(VLOOKUP(Table2[[#This Row],[tee time4]],'6-6-6 - groups'!$A$3:$F$20,6,FALSE),"")</f>
        <v/>
      </c>
      <c r="Y207" s="4" t="str">
        <f>_xlfn.IFNA(VLOOKUP(Table2[[#This Row],[tee time4]],'6-6-6 - groups'!$A$3:$F$20,4,FALSE),"")</f>
        <v/>
      </c>
      <c r="Z207" s="13" t="str">
        <f>_xlfn.IFNA(VLOOKUP(Table2[[#This Row],[tee time4]],'6-6-6 - groups'!$A$3:$F$20,5,FALSE),"")</f>
        <v/>
      </c>
      <c r="AA207" s="69" t="str">
        <f>IF(Table2[[#This Row],[avg gap]]&lt;&gt;"",IFERROR((MAX(starting_interval,IF(Table2[[#This Row],[gap4]]="NA",Table2[[#This Row],[avg gap]],Table2[[#This Row],[gap4]]))-starting_interval)*Table2[[#This Row],[followers4]]/Table2[[#This Row],[group size4]],""),"")</f>
        <v/>
      </c>
      <c r="AB207" s="32" t="str">
        <f>_xlfn.IFNA(VLOOKUP(Table2[[#This Row],[Name]],'Fall FD - players'!$A$2:$B$65,2,FALSE),"")</f>
        <v/>
      </c>
      <c r="AC207" s="59" t="str">
        <f>IF(Table2[[#This Row],[tee time5]]&lt;&gt;"",COUNTIF('Fall FD - players'!$B$2:$B$65,"="&amp;Table2[[#This Row],[tee time5]]),"")</f>
        <v/>
      </c>
      <c r="AD207" s="59" t="str">
        <f>_xlfn.IFNA(VLOOKUP(Table2[[#This Row],[tee time5]],'Fall FD - groups'!$A$3:$F$20,6,FALSE),"")</f>
        <v/>
      </c>
      <c r="AE207" s="4" t="str">
        <f>_xlfn.IFNA(VLOOKUP(Table2[[#This Row],[tee time5]],'Fall FD - groups'!$A$3:$F$20,4,FALSE),"")</f>
        <v/>
      </c>
      <c r="AF207" s="13" t="str">
        <f>IFERROR(MIN(_xlfn.IFNA(VLOOKUP(Table2[[#This Row],[tee time5]],'Fall FD - groups'!$A$3:$F$20,5,FALSE),""),starting_interval + Table2[[#This Row],[round5]] - standard_round_time),"")</f>
        <v/>
      </c>
      <c r="AG207" s="69" t="str">
        <f>IF(AND(Table2[[#This Row],[gap5]]="NA",Table2[[#This Row],[round5]]&lt;4/24),0,IFERROR((MAX(starting_interval,IF(Table2[[#This Row],[gap5]]="NA",Table2[[#This Row],[avg gap]],Table2[[#This Row],[gap5]]))-starting_interval)*Table2[[#This Row],[followers5]]/Table2[[#This Row],[group size5]],""))</f>
        <v/>
      </c>
      <c r="AH207" s="32" t="str">
        <f>_xlfn.IFNA(VLOOKUP(Table2[[#This Row],[Name]],'Stableford - players'!$A$2:$B$65,2,FALSE),"")</f>
        <v/>
      </c>
      <c r="AI207" s="59" t="str">
        <f>IF(Table2[[#This Row],[tee time6]]&lt;&gt;"",COUNTIF('Stableford - players'!$B$2:$B$65,"="&amp;Table2[[#This Row],[tee time6]]),"")</f>
        <v/>
      </c>
      <c r="AJ207" s="59" t="str">
        <f>_xlfn.IFNA(VLOOKUP(Table2[[#This Row],[tee time6]],'Stableford - groups'!$A$3:$F$20,6,FALSE),"")</f>
        <v/>
      </c>
      <c r="AK207" s="11" t="str">
        <f>_xlfn.IFNA(VLOOKUP(Table2[[#This Row],[tee time6]],'Stableford - groups'!$A$3:$F$20,4,FALSE),"")</f>
        <v/>
      </c>
      <c r="AL207" s="13" t="str">
        <f>_xlfn.IFNA(VLOOKUP(Table2[[#This Row],[tee time6]],'Stableford - groups'!$A$3:$F$20,5,FALSE),"")</f>
        <v/>
      </c>
      <c r="AM207" s="68" t="str">
        <f>IF(AND(Table2[[#This Row],[gap6]]="NA",Table2[[#This Row],[round6]]&lt;4/24),0,IFERROR((MAX(starting_interval,IF(Table2[[#This Row],[gap6]]="NA",Table2[[#This Row],[avg gap]],Table2[[#This Row],[gap6]]))-starting_interval)*Table2[[#This Row],[followers6]]/Table2[[#This Row],[group size6]],""))</f>
        <v/>
      </c>
      <c r="AN207" s="32" t="str">
        <f>_xlfn.IFNA(VLOOKUP(Table2[[#This Row],[Name]],'Turkey Shoot - players'!$A$2:$B$65,2,FALSE),"")</f>
        <v/>
      </c>
      <c r="AO207" s="59" t="str">
        <f>IF(Table2[[#This Row],[tee time7]]&lt;&gt;"",COUNTIF('Turkey Shoot - players'!$B$2:$B$65,"="&amp;Table2[[#This Row],[tee time7]]),"")</f>
        <v/>
      </c>
      <c r="AP207" s="59" t="str">
        <f>_xlfn.IFNA(VLOOKUP(Table2[[#This Row],[tee time7]],'Stableford - groups'!$A$3:$F$20,6,FALSE),"")</f>
        <v/>
      </c>
      <c r="AQ207" s="11" t="str">
        <f>_xlfn.IFNA(VLOOKUP(Table2[[#This Row],[tee time7]],'Turkey Shoot - groups'!$A$3:$F$20,4,FALSE),"")</f>
        <v/>
      </c>
      <c r="AR207" s="13" t="str">
        <f>_xlfn.IFNA(VLOOKUP(Table2[[#This Row],[tee time7]],'Turkey Shoot - groups'!$A$3:$F$20,5,FALSE),"")</f>
        <v/>
      </c>
      <c r="AS207" s="68" t="str">
        <f>IF(AND(Table2[[#This Row],[gap7]]="NA",Table2[[#This Row],[round7]]&lt;4/24),0,IFERROR((MAX(starting_interval,IF(Table2[[#This Row],[gap7]]="NA",Table2[[#This Row],[avg gap]],Table2[[#This Row],[gap7]]))-starting_interval)*Table2[[#This Row],[followers7]]/Table2[[#This Row],[group size7]],""))</f>
        <v/>
      </c>
      <c r="AT207" s="72">
        <f>COUNT(Table2[[#This Row],[Tee time1]],Table2[[#This Row],[tee time2]],Table2[[#This Row],[tee time3]],Table2[[#This Row],[tee time4]],Table2[[#This Row],[tee time5]],Table2[[#This Row],[tee time6]],Table2[[#This Row],[tee time7]])</f>
        <v>0</v>
      </c>
      <c r="AU207" s="4" t="str">
        <f>IFERROR(AVERAGE(Table2[[#This Row],[Tee time1]],Table2[[#This Row],[tee time2]],Table2[[#This Row],[tee time3]],Table2[[#This Row],[tee time4]],Table2[[#This Row],[tee time5]],Table2[[#This Row],[tee time6]],Table2[[#This Row],[tee time7]]),"")</f>
        <v/>
      </c>
      <c r="AV207" s="11" t="str">
        <f>IFERROR(MEDIAN(Table2[[#This Row],[round1]],Table2[[#This Row],[Round2]],Table2[[#This Row],[round3]],Table2[[#This Row],[round4]],Table2[[#This Row],[round5]],Table2[[#This Row],[round6]],Table2[[#This Row],[round7]]),"")</f>
        <v/>
      </c>
      <c r="AW207" s="11" t="str">
        <f>IFERROR(AVERAGE(Table2[[#This Row],[gap1]],Table2[[#This Row],[gap2]],Table2[[#This Row],[gap3]],Table2[[#This Row],[gap4]],Table2[[#This Row],[gap5]],Table2[[#This Row],[gap6]],Table2[[#This Row],[gap7]]),"")</f>
        <v/>
      </c>
      <c r="AX207" s="9" t="str">
        <f>IFERROR((Table2[[#This Row],[avg gap]]-starting_interval)*24*60*Table2[[#This Row],[Count]],"NA")</f>
        <v>NA</v>
      </c>
      <c r="AY207"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07" s="2"/>
    </row>
    <row r="208" spans="1:52" hidden="1" x14ac:dyDescent="0.3">
      <c r="A208" s="10" t="s">
        <v>158</v>
      </c>
      <c r="B208" s="1" t="s">
        <v>402</v>
      </c>
      <c r="C208" s="19">
        <v>17.399999999999999</v>
      </c>
      <c r="D208" s="32" t="str">
        <f>_xlfn.IFNA(VLOOKUP(Table2[[#This Row],[Name]],'Classic day 1 - players'!$A$2:$B$64,2,FALSE),"")</f>
        <v/>
      </c>
      <c r="E208" s="33" t="str">
        <f>IF(Table2[[#This Row],[Tee time1]]&lt;&gt;"",COUNTIF('Classic day 1 - players'!$B$2:$B$64,"="&amp;Table2[[#This Row],[Tee time1]]),"")</f>
        <v/>
      </c>
      <c r="F208" s="4" t="str">
        <f>_xlfn.IFNA(VLOOKUP(Table2[[#This Row],[Tee time1]],'Classic day 1 - groups'!$A$3:$F$20,6,FALSE),"")</f>
        <v/>
      </c>
      <c r="G208" s="11" t="str">
        <f>_xlfn.IFNA(VLOOKUP(Table2[[#This Row],[Tee time1]],'Classic day 1 - groups'!$A$3:$F$20,4,FALSE),"")</f>
        <v/>
      </c>
      <c r="H208" s="12" t="str">
        <f>_xlfn.IFNA(VLOOKUP(Table2[[#This Row],[Tee time1]],'Classic day 1 - groups'!$A$3:$F$20,5,FALSE),"")</f>
        <v/>
      </c>
      <c r="I208" s="69" t="str">
        <f>IFERROR((MAX(starting_interval,IF(Table2[[#This Row],[gap1]]="NA",Table2[[#This Row],[avg gap]],Table2[[#This Row],[gap1]]))-starting_interval)*Table2[[#This Row],[followers1]]/Table2[[#This Row],[group size]],"")</f>
        <v/>
      </c>
      <c r="J208" s="32" t="str">
        <f>_xlfn.IFNA(VLOOKUP(Table2[[#This Row],[Name]],'Classic day 2 - players'!$A$2:$B$64,2,FALSE),"")</f>
        <v/>
      </c>
      <c r="K208" s="4" t="str">
        <f>IF(Table2[[#This Row],[tee time2]]&lt;&gt;"",COUNTIF('Classic day 2 - players'!$B$2:$B$64,"="&amp;Table2[[#This Row],[tee time2]]),"")</f>
        <v/>
      </c>
      <c r="L208" s="4" t="str">
        <f>_xlfn.IFNA(VLOOKUP(Table2[[#This Row],[tee time2]],'Classic day 2 - groups'!$A$3:$F$20,6,FALSE),"")</f>
        <v/>
      </c>
      <c r="M208" s="4" t="str">
        <f>_xlfn.IFNA(VLOOKUP(Table2[[#This Row],[tee time2]],'Classic day 2 - groups'!$A$3:$F$20,4,FALSE),"")</f>
        <v/>
      </c>
      <c r="N208" s="65" t="str">
        <f>_xlfn.IFNA(VLOOKUP(Table2[[#This Row],[tee time2]],'Classic day 2 - groups'!$A$3:$F$20,5,FALSE),"")</f>
        <v/>
      </c>
      <c r="O208" s="69" t="str">
        <f>IFERROR((MAX(starting_interval,IF(Table2[[#This Row],[gap2]]="NA",Table2[[#This Row],[avg gap]],Table2[[#This Row],[gap2]]))-starting_interval)*Table2[[#This Row],[followers2]]/Table2[[#This Row],[group size2]],"")</f>
        <v/>
      </c>
      <c r="P208" s="32" t="str">
        <f>_xlfn.IFNA(VLOOKUP(Table2[[#This Row],[Name]],'Summer FD - players'!$A$2:$B$65,2,FALSE),"")</f>
        <v/>
      </c>
      <c r="Q208" s="59" t="str">
        <f>IF(Table2[[#This Row],[tee time3]]&lt;&gt;"",COUNTIF('Summer FD - players'!$B$2:$B$65,"="&amp;Table2[[#This Row],[tee time3]]),"")</f>
        <v/>
      </c>
      <c r="R208" s="59" t="str">
        <f>_xlfn.IFNA(VLOOKUP(Table2[[#This Row],[tee time3]],'Summer FD - groups'!$A$3:$F$20,6,FALSE),"")</f>
        <v/>
      </c>
      <c r="S208" s="4" t="str">
        <f>_xlfn.IFNA(VLOOKUP(Table2[[#This Row],[tee time3]],'Summer FD - groups'!$A$3:$F$20,4,FALSE),"")</f>
        <v/>
      </c>
      <c r="T208" s="13" t="str">
        <f>_xlfn.IFNA(VLOOKUP(Table2[[#This Row],[tee time3]],'Summer FD - groups'!$A$3:$F$20,5,FALSE),"")</f>
        <v/>
      </c>
      <c r="U208" s="69" t="str">
        <f>IF(Table2[[#This Row],[avg gap]]&lt;&gt;"",IFERROR((MAX(starting_interval,IF(Table2[[#This Row],[gap3]]="NA",Table2[[#This Row],[avg gap]],Table2[[#This Row],[gap3]]))-starting_interval)*Table2[[#This Row],[followers3]]/Table2[[#This Row],[group size3]],""),"")</f>
        <v/>
      </c>
      <c r="V208" s="32" t="str">
        <f>_xlfn.IFNA(VLOOKUP(Table2[[#This Row],[Name]],'6-6-6 - players'!$A$2:$B$69,2,FALSE),"")</f>
        <v/>
      </c>
      <c r="W208" s="59" t="str">
        <f>IF(Table2[[#This Row],[tee time4]]&lt;&gt;"",COUNTIF('6-6-6 - players'!$B$2:$B$69,"="&amp;Table2[[#This Row],[tee time4]]),"")</f>
        <v/>
      </c>
      <c r="X208" s="59" t="str">
        <f>_xlfn.IFNA(VLOOKUP(Table2[[#This Row],[tee time4]],'6-6-6 - groups'!$A$3:$F$20,6,FALSE),"")</f>
        <v/>
      </c>
      <c r="Y208" s="4" t="str">
        <f>_xlfn.IFNA(VLOOKUP(Table2[[#This Row],[tee time4]],'6-6-6 - groups'!$A$3:$F$20,4,FALSE),"")</f>
        <v/>
      </c>
      <c r="Z208" s="13" t="str">
        <f>_xlfn.IFNA(VLOOKUP(Table2[[#This Row],[tee time4]],'6-6-6 - groups'!$A$3:$F$20,5,FALSE),"")</f>
        <v/>
      </c>
      <c r="AA208" s="69" t="str">
        <f>IF(Table2[[#This Row],[avg gap]]&lt;&gt;"",IFERROR((MAX(starting_interval,IF(Table2[[#This Row],[gap4]]="NA",Table2[[#This Row],[avg gap]],Table2[[#This Row],[gap4]]))-starting_interval)*Table2[[#This Row],[followers4]]/Table2[[#This Row],[group size4]],""),"")</f>
        <v/>
      </c>
      <c r="AB208" s="32" t="str">
        <f>_xlfn.IFNA(VLOOKUP(Table2[[#This Row],[Name]],'Fall FD - players'!$A$2:$B$65,2,FALSE),"")</f>
        <v/>
      </c>
      <c r="AC208" s="59" t="str">
        <f>IF(Table2[[#This Row],[tee time5]]&lt;&gt;"",COUNTIF('Fall FD - players'!$B$2:$B$65,"="&amp;Table2[[#This Row],[tee time5]]),"")</f>
        <v/>
      </c>
      <c r="AD208" s="59" t="str">
        <f>_xlfn.IFNA(VLOOKUP(Table2[[#This Row],[tee time5]],'Fall FD - groups'!$A$3:$F$20,6,FALSE),"")</f>
        <v/>
      </c>
      <c r="AE208" s="4" t="str">
        <f>_xlfn.IFNA(VLOOKUP(Table2[[#This Row],[tee time5]],'Fall FD - groups'!$A$3:$F$20,4,FALSE),"")</f>
        <v/>
      </c>
      <c r="AF208" s="13" t="str">
        <f>IFERROR(MIN(_xlfn.IFNA(VLOOKUP(Table2[[#This Row],[tee time5]],'Fall FD - groups'!$A$3:$F$20,5,FALSE),""),starting_interval + Table2[[#This Row],[round5]] - standard_round_time),"")</f>
        <v/>
      </c>
      <c r="AG208" s="69" t="str">
        <f>IF(AND(Table2[[#This Row],[gap5]]="NA",Table2[[#This Row],[round5]]&lt;4/24),0,IFERROR((MAX(starting_interval,IF(Table2[[#This Row],[gap5]]="NA",Table2[[#This Row],[avg gap]],Table2[[#This Row],[gap5]]))-starting_interval)*Table2[[#This Row],[followers5]]/Table2[[#This Row],[group size5]],""))</f>
        <v/>
      </c>
      <c r="AH208" s="32" t="str">
        <f>_xlfn.IFNA(VLOOKUP(Table2[[#This Row],[Name]],'Stableford - players'!$A$2:$B$65,2,FALSE),"")</f>
        <v/>
      </c>
      <c r="AI208" s="59" t="str">
        <f>IF(Table2[[#This Row],[tee time6]]&lt;&gt;"",COUNTIF('Stableford - players'!$B$2:$B$65,"="&amp;Table2[[#This Row],[tee time6]]),"")</f>
        <v/>
      </c>
      <c r="AJ208" s="59" t="str">
        <f>_xlfn.IFNA(VLOOKUP(Table2[[#This Row],[tee time6]],'Stableford - groups'!$A$3:$F$20,6,FALSE),"")</f>
        <v/>
      </c>
      <c r="AK208" s="11" t="str">
        <f>_xlfn.IFNA(VLOOKUP(Table2[[#This Row],[tee time6]],'Stableford - groups'!$A$3:$F$20,4,FALSE),"")</f>
        <v/>
      </c>
      <c r="AL208" s="13" t="str">
        <f>_xlfn.IFNA(VLOOKUP(Table2[[#This Row],[tee time6]],'Stableford - groups'!$A$3:$F$20,5,FALSE),"")</f>
        <v/>
      </c>
      <c r="AM208" s="68" t="str">
        <f>IF(AND(Table2[[#This Row],[gap6]]="NA",Table2[[#This Row],[round6]]&lt;4/24),0,IFERROR((MAX(starting_interval,IF(Table2[[#This Row],[gap6]]="NA",Table2[[#This Row],[avg gap]],Table2[[#This Row],[gap6]]))-starting_interval)*Table2[[#This Row],[followers6]]/Table2[[#This Row],[group size6]],""))</f>
        <v/>
      </c>
      <c r="AN208" s="32" t="str">
        <f>_xlfn.IFNA(VLOOKUP(Table2[[#This Row],[Name]],'Turkey Shoot - players'!$A$2:$B$65,2,FALSE),"")</f>
        <v/>
      </c>
      <c r="AO208" s="59" t="str">
        <f>IF(Table2[[#This Row],[tee time7]]&lt;&gt;"",COUNTIF('Turkey Shoot - players'!$B$2:$B$65,"="&amp;Table2[[#This Row],[tee time7]]),"")</f>
        <v/>
      </c>
      <c r="AP208" s="59" t="str">
        <f>_xlfn.IFNA(VLOOKUP(Table2[[#This Row],[tee time7]],'Stableford - groups'!$A$3:$F$20,6,FALSE),"")</f>
        <v/>
      </c>
      <c r="AQ208" s="11" t="str">
        <f>_xlfn.IFNA(VLOOKUP(Table2[[#This Row],[tee time7]],'Turkey Shoot - groups'!$A$3:$F$20,4,FALSE),"")</f>
        <v/>
      </c>
      <c r="AR208" s="13" t="str">
        <f>_xlfn.IFNA(VLOOKUP(Table2[[#This Row],[tee time7]],'Turkey Shoot - groups'!$A$3:$F$20,5,FALSE),"")</f>
        <v/>
      </c>
      <c r="AS208" s="68" t="str">
        <f>IF(AND(Table2[[#This Row],[gap7]]="NA",Table2[[#This Row],[round7]]&lt;4/24),0,IFERROR((MAX(starting_interval,IF(Table2[[#This Row],[gap7]]="NA",Table2[[#This Row],[avg gap]],Table2[[#This Row],[gap7]]))-starting_interval)*Table2[[#This Row],[followers7]]/Table2[[#This Row],[group size7]],""))</f>
        <v/>
      </c>
      <c r="AT208" s="72">
        <f>COUNT(Table2[[#This Row],[Tee time1]],Table2[[#This Row],[tee time2]],Table2[[#This Row],[tee time3]],Table2[[#This Row],[tee time4]],Table2[[#This Row],[tee time5]],Table2[[#This Row],[tee time6]],Table2[[#This Row],[tee time7]])</f>
        <v>0</v>
      </c>
      <c r="AU208" s="4" t="str">
        <f>IFERROR(AVERAGE(Table2[[#This Row],[Tee time1]],Table2[[#This Row],[tee time2]],Table2[[#This Row],[tee time3]],Table2[[#This Row],[tee time4]],Table2[[#This Row],[tee time5]],Table2[[#This Row],[tee time6]],Table2[[#This Row],[tee time7]]),"")</f>
        <v/>
      </c>
      <c r="AV208" s="11" t="str">
        <f>IFERROR(MEDIAN(Table2[[#This Row],[round1]],Table2[[#This Row],[Round2]],Table2[[#This Row],[round3]],Table2[[#This Row],[round4]],Table2[[#This Row],[round5]],Table2[[#This Row],[round6]],Table2[[#This Row],[round7]]),"")</f>
        <v/>
      </c>
      <c r="AW208" s="11" t="str">
        <f>IFERROR(AVERAGE(Table2[[#This Row],[gap1]],Table2[[#This Row],[gap2]],Table2[[#This Row],[gap3]],Table2[[#This Row],[gap4]],Table2[[#This Row],[gap5]],Table2[[#This Row],[gap6]],Table2[[#This Row],[gap7]]),"")</f>
        <v/>
      </c>
      <c r="AX208" s="9" t="str">
        <f>IFERROR((Table2[[#This Row],[avg gap]]-starting_interval)*24*60*Table2[[#This Row],[Count]],"NA")</f>
        <v>NA</v>
      </c>
      <c r="AY208"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08" s="2"/>
    </row>
    <row r="209" spans="1:52" hidden="1" x14ac:dyDescent="0.3">
      <c r="A209" s="10" t="s">
        <v>166</v>
      </c>
      <c r="B209" s="1" t="s">
        <v>407</v>
      </c>
      <c r="C209" s="19">
        <v>11.6</v>
      </c>
      <c r="D209" s="32" t="str">
        <f>_xlfn.IFNA(VLOOKUP(Table2[[#This Row],[Name]],'Classic day 1 - players'!$A$2:$B$64,2,FALSE),"")</f>
        <v/>
      </c>
      <c r="E209" s="33" t="str">
        <f>IF(Table2[[#This Row],[Tee time1]]&lt;&gt;"",COUNTIF('Classic day 1 - players'!$B$2:$B$64,"="&amp;Table2[[#This Row],[Tee time1]]),"")</f>
        <v/>
      </c>
      <c r="F209" s="4" t="str">
        <f>_xlfn.IFNA(VLOOKUP(Table2[[#This Row],[Tee time1]],'Classic day 1 - groups'!$A$3:$F$20,6,FALSE),"")</f>
        <v/>
      </c>
      <c r="G209" s="11" t="str">
        <f>_xlfn.IFNA(VLOOKUP(Table2[[#This Row],[Tee time1]],'Classic day 1 - groups'!$A$3:$F$20,4,FALSE),"")</f>
        <v/>
      </c>
      <c r="H209" s="12" t="str">
        <f>_xlfn.IFNA(VLOOKUP(Table2[[#This Row],[Tee time1]],'Classic day 1 - groups'!$A$3:$F$20,5,FALSE),"")</f>
        <v/>
      </c>
      <c r="I209" s="69" t="str">
        <f>IFERROR((MAX(starting_interval,IF(Table2[[#This Row],[gap1]]="NA",Table2[[#This Row],[avg gap]],Table2[[#This Row],[gap1]]))-starting_interval)*Table2[[#This Row],[followers1]]/Table2[[#This Row],[group size]],"")</f>
        <v/>
      </c>
      <c r="J209" s="32" t="str">
        <f>_xlfn.IFNA(VLOOKUP(Table2[[#This Row],[Name]],'Classic day 2 - players'!$A$2:$B$64,2,FALSE),"")</f>
        <v/>
      </c>
      <c r="K209" s="4" t="str">
        <f>IF(Table2[[#This Row],[tee time2]]&lt;&gt;"",COUNTIF('Classic day 2 - players'!$B$2:$B$64,"="&amp;Table2[[#This Row],[tee time2]]),"")</f>
        <v/>
      </c>
      <c r="L209" s="4" t="str">
        <f>_xlfn.IFNA(VLOOKUP(Table2[[#This Row],[tee time2]],'Classic day 2 - groups'!$A$3:$F$20,6,FALSE),"")</f>
        <v/>
      </c>
      <c r="M209" s="4" t="str">
        <f>_xlfn.IFNA(VLOOKUP(Table2[[#This Row],[tee time2]],'Classic day 2 - groups'!$A$3:$F$20,4,FALSE),"")</f>
        <v/>
      </c>
      <c r="N209" s="65" t="str">
        <f>_xlfn.IFNA(VLOOKUP(Table2[[#This Row],[tee time2]],'Classic day 2 - groups'!$A$3:$F$20,5,FALSE),"")</f>
        <v/>
      </c>
      <c r="O209" s="69" t="str">
        <f>IFERROR((MAX(starting_interval,IF(Table2[[#This Row],[gap2]]="NA",Table2[[#This Row],[avg gap]],Table2[[#This Row],[gap2]]))-starting_interval)*Table2[[#This Row],[followers2]]/Table2[[#This Row],[group size2]],"")</f>
        <v/>
      </c>
      <c r="P209" s="32" t="str">
        <f>_xlfn.IFNA(VLOOKUP(Table2[[#This Row],[Name]],'Summer FD - players'!$A$2:$B$65,2,FALSE),"")</f>
        <v/>
      </c>
      <c r="Q209" s="59" t="str">
        <f>IF(Table2[[#This Row],[tee time3]]&lt;&gt;"",COUNTIF('Summer FD - players'!$B$2:$B$65,"="&amp;Table2[[#This Row],[tee time3]]),"")</f>
        <v/>
      </c>
      <c r="R209" s="59" t="str">
        <f>_xlfn.IFNA(VLOOKUP(Table2[[#This Row],[tee time3]],'Summer FD - groups'!$A$3:$F$20,6,FALSE),"")</f>
        <v/>
      </c>
      <c r="S209" s="4" t="str">
        <f>_xlfn.IFNA(VLOOKUP(Table2[[#This Row],[tee time3]],'Summer FD - groups'!$A$3:$F$20,4,FALSE),"")</f>
        <v/>
      </c>
      <c r="T209" s="13" t="str">
        <f>_xlfn.IFNA(VLOOKUP(Table2[[#This Row],[tee time3]],'Summer FD - groups'!$A$3:$F$20,5,FALSE),"")</f>
        <v/>
      </c>
      <c r="U209" s="69" t="str">
        <f>IF(Table2[[#This Row],[avg gap]]&lt;&gt;"",IFERROR((MAX(starting_interval,IF(Table2[[#This Row],[gap3]]="NA",Table2[[#This Row],[avg gap]],Table2[[#This Row],[gap3]]))-starting_interval)*Table2[[#This Row],[followers3]]/Table2[[#This Row],[group size3]],""),"")</f>
        <v/>
      </c>
      <c r="V209" s="32" t="str">
        <f>_xlfn.IFNA(VLOOKUP(Table2[[#This Row],[Name]],'6-6-6 - players'!$A$2:$B$69,2,FALSE),"")</f>
        <v/>
      </c>
      <c r="W209" s="59" t="str">
        <f>IF(Table2[[#This Row],[tee time4]]&lt;&gt;"",COUNTIF('6-6-6 - players'!$B$2:$B$69,"="&amp;Table2[[#This Row],[tee time4]]),"")</f>
        <v/>
      </c>
      <c r="X209" s="59" t="str">
        <f>_xlfn.IFNA(VLOOKUP(Table2[[#This Row],[tee time4]],'6-6-6 - groups'!$A$3:$F$20,6,FALSE),"")</f>
        <v/>
      </c>
      <c r="Y209" s="4" t="str">
        <f>_xlfn.IFNA(VLOOKUP(Table2[[#This Row],[tee time4]],'6-6-6 - groups'!$A$3:$F$20,4,FALSE),"")</f>
        <v/>
      </c>
      <c r="Z209" s="13" t="str">
        <f>_xlfn.IFNA(VLOOKUP(Table2[[#This Row],[tee time4]],'6-6-6 - groups'!$A$3:$F$20,5,FALSE),"")</f>
        <v/>
      </c>
      <c r="AA209" s="69" t="str">
        <f>IF(Table2[[#This Row],[avg gap]]&lt;&gt;"",IFERROR((MAX(starting_interval,IF(Table2[[#This Row],[gap4]]="NA",Table2[[#This Row],[avg gap]],Table2[[#This Row],[gap4]]))-starting_interval)*Table2[[#This Row],[followers4]]/Table2[[#This Row],[group size4]],""),"")</f>
        <v/>
      </c>
      <c r="AB209" s="32" t="str">
        <f>_xlfn.IFNA(VLOOKUP(Table2[[#This Row],[Name]],'Fall FD - players'!$A$2:$B$65,2,FALSE),"")</f>
        <v/>
      </c>
      <c r="AC209" s="59" t="str">
        <f>IF(Table2[[#This Row],[tee time5]]&lt;&gt;"",COUNTIF('Fall FD - players'!$B$2:$B$65,"="&amp;Table2[[#This Row],[tee time5]]),"")</f>
        <v/>
      </c>
      <c r="AD209" s="59" t="str">
        <f>_xlfn.IFNA(VLOOKUP(Table2[[#This Row],[tee time5]],'Fall FD - groups'!$A$3:$F$20,6,FALSE),"")</f>
        <v/>
      </c>
      <c r="AE209" s="4" t="str">
        <f>_xlfn.IFNA(VLOOKUP(Table2[[#This Row],[tee time5]],'Fall FD - groups'!$A$3:$F$20,4,FALSE),"")</f>
        <v/>
      </c>
      <c r="AF209" s="13" t="str">
        <f>IFERROR(MIN(_xlfn.IFNA(VLOOKUP(Table2[[#This Row],[tee time5]],'Fall FD - groups'!$A$3:$F$20,5,FALSE),""),starting_interval + Table2[[#This Row],[round5]] - standard_round_time),"")</f>
        <v/>
      </c>
      <c r="AG209" s="69" t="str">
        <f>IF(AND(Table2[[#This Row],[gap5]]="NA",Table2[[#This Row],[round5]]&lt;4/24),0,IFERROR((MAX(starting_interval,IF(Table2[[#This Row],[gap5]]="NA",Table2[[#This Row],[avg gap]],Table2[[#This Row],[gap5]]))-starting_interval)*Table2[[#This Row],[followers5]]/Table2[[#This Row],[group size5]],""))</f>
        <v/>
      </c>
      <c r="AH209" s="32" t="str">
        <f>_xlfn.IFNA(VLOOKUP(Table2[[#This Row],[Name]],'Stableford - players'!$A$2:$B$65,2,FALSE),"")</f>
        <v/>
      </c>
      <c r="AI209" s="59" t="str">
        <f>IF(Table2[[#This Row],[tee time6]]&lt;&gt;"",COUNTIF('Stableford - players'!$B$2:$B$65,"="&amp;Table2[[#This Row],[tee time6]]),"")</f>
        <v/>
      </c>
      <c r="AJ209" s="59" t="str">
        <f>_xlfn.IFNA(VLOOKUP(Table2[[#This Row],[tee time6]],'Stableford - groups'!$A$3:$F$20,6,FALSE),"")</f>
        <v/>
      </c>
      <c r="AK209" s="11" t="str">
        <f>_xlfn.IFNA(VLOOKUP(Table2[[#This Row],[tee time6]],'Stableford - groups'!$A$3:$F$20,4,FALSE),"")</f>
        <v/>
      </c>
      <c r="AL209" s="13" t="str">
        <f>_xlfn.IFNA(VLOOKUP(Table2[[#This Row],[tee time6]],'Stableford - groups'!$A$3:$F$20,5,FALSE),"")</f>
        <v/>
      </c>
      <c r="AM209" s="68" t="str">
        <f>IF(AND(Table2[[#This Row],[gap6]]="NA",Table2[[#This Row],[round6]]&lt;4/24),0,IFERROR((MAX(starting_interval,IF(Table2[[#This Row],[gap6]]="NA",Table2[[#This Row],[avg gap]],Table2[[#This Row],[gap6]]))-starting_interval)*Table2[[#This Row],[followers6]]/Table2[[#This Row],[group size6]],""))</f>
        <v/>
      </c>
      <c r="AN209" s="32" t="str">
        <f>_xlfn.IFNA(VLOOKUP(Table2[[#This Row],[Name]],'Turkey Shoot - players'!$A$2:$B$65,2,FALSE),"")</f>
        <v/>
      </c>
      <c r="AO209" s="59" t="str">
        <f>IF(Table2[[#This Row],[tee time7]]&lt;&gt;"",COUNTIF('Turkey Shoot - players'!$B$2:$B$65,"="&amp;Table2[[#This Row],[tee time7]]),"")</f>
        <v/>
      </c>
      <c r="AP209" s="59" t="str">
        <f>_xlfn.IFNA(VLOOKUP(Table2[[#This Row],[tee time7]],'Stableford - groups'!$A$3:$F$20,6,FALSE),"")</f>
        <v/>
      </c>
      <c r="AQ209" s="11" t="str">
        <f>_xlfn.IFNA(VLOOKUP(Table2[[#This Row],[tee time7]],'Turkey Shoot - groups'!$A$3:$F$20,4,FALSE),"")</f>
        <v/>
      </c>
      <c r="AR209" s="13" t="str">
        <f>_xlfn.IFNA(VLOOKUP(Table2[[#This Row],[tee time7]],'Turkey Shoot - groups'!$A$3:$F$20,5,FALSE),"")</f>
        <v/>
      </c>
      <c r="AS209" s="68" t="str">
        <f>IF(AND(Table2[[#This Row],[gap7]]="NA",Table2[[#This Row],[round7]]&lt;4/24),0,IFERROR((MAX(starting_interval,IF(Table2[[#This Row],[gap7]]="NA",Table2[[#This Row],[avg gap]],Table2[[#This Row],[gap7]]))-starting_interval)*Table2[[#This Row],[followers7]]/Table2[[#This Row],[group size7]],""))</f>
        <v/>
      </c>
      <c r="AT209" s="72">
        <f>COUNT(Table2[[#This Row],[Tee time1]],Table2[[#This Row],[tee time2]],Table2[[#This Row],[tee time3]],Table2[[#This Row],[tee time4]],Table2[[#This Row],[tee time5]],Table2[[#This Row],[tee time6]],Table2[[#This Row],[tee time7]])</f>
        <v>0</v>
      </c>
      <c r="AU209" s="4" t="str">
        <f>IFERROR(AVERAGE(Table2[[#This Row],[Tee time1]],Table2[[#This Row],[tee time2]],Table2[[#This Row],[tee time3]],Table2[[#This Row],[tee time4]],Table2[[#This Row],[tee time5]],Table2[[#This Row],[tee time6]],Table2[[#This Row],[tee time7]]),"")</f>
        <v/>
      </c>
      <c r="AV209" s="11" t="str">
        <f>IFERROR(MEDIAN(Table2[[#This Row],[round1]],Table2[[#This Row],[Round2]],Table2[[#This Row],[round3]],Table2[[#This Row],[round4]],Table2[[#This Row],[round5]],Table2[[#This Row],[round6]],Table2[[#This Row],[round7]]),"")</f>
        <v/>
      </c>
      <c r="AW209" s="11" t="str">
        <f>IFERROR(AVERAGE(Table2[[#This Row],[gap1]],Table2[[#This Row],[gap2]],Table2[[#This Row],[gap3]],Table2[[#This Row],[gap4]],Table2[[#This Row],[gap5]],Table2[[#This Row],[gap6]],Table2[[#This Row],[gap7]]),"")</f>
        <v/>
      </c>
      <c r="AX209" s="9" t="str">
        <f>IFERROR((Table2[[#This Row],[avg gap]]-starting_interval)*24*60*Table2[[#This Row],[Count]],"NA")</f>
        <v>NA</v>
      </c>
      <c r="AY209"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09" s="2"/>
    </row>
    <row r="210" spans="1:52" hidden="1" x14ac:dyDescent="0.3">
      <c r="A210" s="10" t="s">
        <v>170</v>
      </c>
      <c r="B210" s="1" t="s">
        <v>411</v>
      </c>
      <c r="C210" s="19">
        <v>20.8</v>
      </c>
      <c r="D210" s="32" t="str">
        <f>_xlfn.IFNA(VLOOKUP(Table2[[#This Row],[Name]],'Classic day 1 - players'!$A$2:$B$64,2,FALSE),"")</f>
        <v/>
      </c>
      <c r="E210" s="33" t="str">
        <f>IF(Table2[[#This Row],[Tee time1]]&lt;&gt;"",COUNTIF('Classic day 1 - players'!$B$2:$B$64,"="&amp;Table2[[#This Row],[Tee time1]]),"")</f>
        <v/>
      </c>
      <c r="F210" s="4" t="str">
        <f>_xlfn.IFNA(VLOOKUP(Table2[[#This Row],[Tee time1]],'Classic day 1 - groups'!$A$3:$F$20,6,FALSE),"")</f>
        <v/>
      </c>
      <c r="G210" s="11" t="str">
        <f>_xlfn.IFNA(VLOOKUP(Table2[[#This Row],[Tee time1]],'Classic day 1 - groups'!$A$3:$F$20,4,FALSE),"")</f>
        <v/>
      </c>
      <c r="H210" s="12" t="str">
        <f>_xlfn.IFNA(VLOOKUP(Table2[[#This Row],[Tee time1]],'Classic day 1 - groups'!$A$3:$F$20,5,FALSE),"")</f>
        <v/>
      </c>
      <c r="I210" s="69" t="str">
        <f>IFERROR((MAX(starting_interval,IF(Table2[[#This Row],[gap1]]="NA",Table2[[#This Row],[avg gap]],Table2[[#This Row],[gap1]]))-starting_interval)*Table2[[#This Row],[followers1]]/Table2[[#This Row],[group size]],"")</f>
        <v/>
      </c>
      <c r="J210" s="32" t="str">
        <f>_xlfn.IFNA(VLOOKUP(Table2[[#This Row],[Name]],'Classic day 2 - players'!$A$2:$B$64,2,FALSE),"")</f>
        <v/>
      </c>
      <c r="K210" s="4" t="str">
        <f>IF(Table2[[#This Row],[tee time2]]&lt;&gt;"",COUNTIF('Classic day 2 - players'!$B$2:$B$64,"="&amp;Table2[[#This Row],[tee time2]]),"")</f>
        <v/>
      </c>
      <c r="L210" s="4" t="str">
        <f>_xlfn.IFNA(VLOOKUP(Table2[[#This Row],[tee time2]],'Classic day 2 - groups'!$A$3:$F$20,6,FALSE),"")</f>
        <v/>
      </c>
      <c r="M210" s="4" t="str">
        <f>_xlfn.IFNA(VLOOKUP(Table2[[#This Row],[tee time2]],'Classic day 2 - groups'!$A$3:$F$20,4,FALSE),"")</f>
        <v/>
      </c>
      <c r="N210" s="65" t="str">
        <f>_xlfn.IFNA(VLOOKUP(Table2[[#This Row],[tee time2]],'Classic day 2 - groups'!$A$3:$F$20,5,FALSE),"")</f>
        <v/>
      </c>
      <c r="O210" s="69" t="str">
        <f>IFERROR((MAX(starting_interval,IF(Table2[[#This Row],[gap2]]="NA",Table2[[#This Row],[avg gap]],Table2[[#This Row],[gap2]]))-starting_interval)*Table2[[#This Row],[followers2]]/Table2[[#This Row],[group size2]],"")</f>
        <v/>
      </c>
      <c r="P210" s="32" t="str">
        <f>_xlfn.IFNA(VLOOKUP(Table2[[#This Row],[Name]],'Summer FD - players'!$A$2:$B$65,2,FALSE),"")</f>
        <v/>
      </c>
      <c r="Q210" s="59" t="str">
        <f>IF(Table2[[#This Row],[tee time3]]&lt;&gt;"",COUNTIF('Summer FD - players'!$B$2:$B$65,"="&amp;Table2[[#This Row],[tee time3]]),"")</f>
        <v/>
      </c>
      <c r="R210" s="59" t="str">
        <f>_xlfn.IFNA(VLOOKUP(Table2[[#This Row],[tee time3]],'Summer FD - groups'!$A$3:$F$20,6,FALSE),"")</f>
        <v/>
      </c>
      <c r="S210" s="4" t="str">
        <f>_xlfn.IFNA(VLOOKUP(Table2[[#This Row],[tee time3]],'Summer FD - groups'!$A$3:$F$20,4,FALSE),"")</f>
        <v/>
      </c>
      <c r="T210" s="13" t="str">
        <f>_xlfn.IFNA(VLOOKUP(Table2[[#This Row],[tee time3]],'Summer FD - groups'!$A$3:$F$20,5,FALSE),"")</f>
        <v/>
      </c>
      <c r="U210" s="69" t="str">
        <f>IF(Table2[[#This Row],[avg gap]]&lt;&gt;"",IFERROR((MAX(starting_interval,IF(Table2[[#This Row],[gap3]]="NA",Table2[[#This Row],[avg gap]],Table2[[#This Row],[gap3]]))-starting_interval)*Table2[[#This Row],[followers3]]/Table2[[#This Row],[group size3]],""),"")</f>
        <v/>
      </c>
      <c r="V210" s="32" t="str">
        <f>_xlfn.IFNA(VLOOKUP(Table2[[#This Row],[Name]],'6-6-6 - players'!$A$2:$B$69,2,FALSE),"")</f>
        <v/>
      </c>
      <c r="W210" s="59" t="str">
        <f>IF(Table2[[#This Row],[tee time4]]&lt;&gt;"",COUNTIF('6-6-6 - players'!$B$2:$B$69,"="&amp;Table2[[#This Row],[tee time4]]),"")</f>
        <v/>
      </c>
      <c r="X210" s="59" t="str">
        <f>_xlfn.IFNA(VLOOKUP(Table2[[#This Row],[tee time4]],'6-6-6 - groups'!$A$3:$F$20,6,FALSE),"")</f>
        <v/>
      </c>
      <c r="Y210" s="4" t="str">
        <f>_xlfn.IFNA(VLOOKUP(Table2[[#This Row],[tee time4]],'6-6-6 - groups'!$A$3:$F$20,4,FALSE),"")</f>
        <v/>
      </c>
      <c r="Z210" s="13" t="str">
        <f>_xlfn.IFNA(VLOOKUP(Table2[[#This Row],[tee time4]],'6-6-6 - groups'!$A$3:$F$20,5,FALSE),"")</f>
        <v/>
      </c>
      <c r="AA210" s="69" t="str">
        <f>IF(Table2[[#This Row],[avg gap]]&lt;&gt;"",IFERROR((MAX(starting_interval,IF(Table2[[#This Row],[gap4]]="NA",Table2[[#This Row],[avg gap]],Table2[[#This Row],[gap4]]))-starting_interval)*Table2[[#This Row],[followers4]]/Table2[[#This Row],[group size4]],""),"")</f>
        <v/>
      </c>
      <c r="AB210" s="32" t="str">
        <f>_xlfn.IFNA(VLOOKUP(Table2[[#This Row],[Name]],'Fall FD - players'!$A$2:$B$65,2,FALSE),"")</f>
        <v/>
      </c>
      <c r="AC210" s="59" t="str">
        <f>IF(Table2[[#This Row],[tee time5]]&lt;&gt;"",COUNTIF('Fall FD - players'!$B$2:$B$65,"="&amp;Table2[[#This Row],[tee time5]]),"")</f>
        <v/>
      </c>
      <c r="AD210" s="59" t="str">
        <f>_xlfn.IFNA(VLOOKUP(Table2[[#This Row],[tee time5]],'Fall FD - groups'!$A$3:$F$20,6,FALSE),"")</f>
        <v/>
      </c>
      <c r="AE210" s="4" t="str">
        <f>_xlfn.IFNA(VLOOKUP(Table2[[#This Row],[tee time5]],'Fall FD - groups'!$A$3:$F$20,4,FALSE),"")</f>
        <v/>
      </c>
      <c r="AF210" s="13" t="str">
        <f>IFERROR(MIN(_xlfn.IFNA(VLOOKUP(Table2[[#This Row],[tee time5]],'Fall FD - groups'!$A$3:$F$20,5,FALSE),""),starting_interval + Table2[[#This Row],[round5]] - standard_round_time),"")</f>
        <v/>
      </c>
      <c r="AG210" s="69" t="str">
        <f>IF(AND(Table2[[#This Row],[gap5]]="NA",Table2[[#This Row],[round5]]&lt;4/24),0,IFERROR((MAX(starting_interval,IF(Table2[[#This Row],[gap5]]="NA",Table2[[#This Row],[avg gap]],Table2[[#This Row],[gap5]]))-starting_interval)*Table2[[#This Row],[followers5]]/Table2[[#This Row],[group size5]],""))</f>
        <v/>
      </c>
      <c r="AH210" s="32" t="str">
        <f>_xlfn.IFNA(VLOOKUP(Table2[[#This Row],[Name]],'Stableford - players'!$A$2:$B$65,2,FALSE),"")</f>
        <v/>
      </c>
      <c r="AI210" s="59" t="str">
        <f>IF(Table2[[#This Row],[tee time6]]&lt;&gt;"",COUNTIF('Stableford - players'!$B$2:$B$65,"="&amp;Table2[[#This Row],[tee time6]]),"")</f>
        <v/>
      </c>
      <c r="AJ210" s="59" t="str">
        <f>_xlfn.IFNA(VLOOKUP(Table2[[#This Row],[tee time6]],'Stableford - groups'!$A$3:$F$20,6,FALSE),"")</f>
        <v/>
      </c>
      <c r="AK210" s="11" t="str">
        <f>_xlfn.IFNA(VLOOKUP(Table2[[#This Row],[tee time6]],'Stableford - groups'!$A$3:$F$20,4,FALSE),"")</f>
        <v/>
      </c>
      <c r="AL210" s="13" t="str">
        <f>_xlfn.IFNA(VLOOKUP(Table2[[#This Row],[tee time6]],'Stableford - groups'!$A$3:$F$20,5,FALSE),"")</f>
        <v/>
      </c>
      <c r="AM210" s="68" t="str">
        <f>IF(AND(Table2[[#This Row],[gap6]]="NA",Table2[[#This Row],[round6]]&lt;4/24),0,IFERROR((MAX(starting_interval,IF(Table2[[#This Row],[gap6]]="NA",Table2[[#This Row],[avg gap]],Table2[[#This Row],[gap6]]))-starting_interval)*Table2[[#This Row],[followers6]]/Table2[[#This Row],[group size6]],""))</f>
        <v/>
      </c>
      <c r="AN210" s="32" t="str">
        <f>_xlfn.IFNA(VLOOKUP(Table2[[#This Row],[Name]],'Turkey Shoot - players'!$A$2:$B$65,2,FALSE),"")</f>
        <v/>
      </c>
      <c r="AO210" s="59" t="str">
        <f>IF(Table2[[#This Row],[tee time7]]&lt;&gt;"",COUNTIF('Turkey Shoot - players'!$B$2:$B$65,"="&amp;Table2[[#This Row],[tee time7]]),"")</f>
        <v/>
      </c>
      <c r="AP210" s="59" t="str">
        <f>_xlfn.IFNA(VLOOKUP(Table2[[#This Row],[tee time7]],'Stableford - groups'!$A$3:$F$20,6,FALSE),"")</f>
        <v/>
      </c>
      <c r="AQ210" s="11" t="str">
        <f>_xlfn.IFNA(VLOOKUP(Table2[[#This Row],[tee time7]],'Turkey Shoot - groups'!$A$3:$F$20,4,FALSE),"")</f>
        <v/>
      </c>
      <c r="AR210" s="13" t="str">
        <f>_xlfn.IFNA(VLOOKUP(Table2[[#This Row],[tee time7]],'Turkey Shoot - groups'!$A$3:$F$20,5,FALSE),"")</f>
        <v/>
      </c>
      <c r="AS210" s="68" t="str">
        <f>IF(AND(Table2[[#This Row],[gap7]]="NA",Table2[[#This Row],[round7]]&lt;4/24),0,IFERROR((MAX(starting_interval,IF(Table2[[#This Row],[gap7]]="NA",Table2[[#This Row],[avg gap]],Table2[[#This Row],[gap7]]))-starting_interval)*Table2[[#This Row],[followers7]]/Table2[[#This Row],[group size7]],""))</f>
        <v/>
      </c>
      <c r="AT210" s="72">
        <f>COUNT(Table2[[#This Row],[Tee time1]],Table2[[#This Row],[tee time2]],Table2[[#This Row],[tee time3]],Table2[[#This Row],[tee time4]],Table2[[#This Row],[tee time5]],Table2[[#This Row],[tee time6]],Table2[[#This Row],[tee time7]])</f>
        <v>0</v>
      </c>
      <c r="AU210" s="4" t="str">
        <f>IFERROR(AVERAGE(Table2[[#This Row],[Tee time1]],Table2[[#This Row],[tee time2]],Table2[[#This Row],[tee time3]],Table2[[#This Row],[tee time4]],Table2[[#This Row],[tee time5]],Table2[[#This Row],[tee time6]],Table2[[#This Row],[tee time7]]),"")</f>
        <v/>
      </c>
      <c r="AV210" s="11" t="str">
        <f>IFERROR(MEDIAN(Table2[[#This Row],[round1]],Table2[[#This Row],[Round2]],Table2[[#This Row],[round3]],Table2[[#This Row],[round4]],Table2[[#This Row],[round5]],Table2[[#This Row],[round6]],Table2[[#This Row],[round7]]),"")</f>
        <v/>
      </c>
      <c r="AW210" s="11" t="str">
        <f>IFERROR(AVERAGE(Table2[[#This Row],[gap1]],Table2[[#This Row],[gap2]],Table2[[#This Row],[gap3]],Table2[[#This Row],[gap4]],Table2[[#This Row],[gap5]],Table2[[#This Row],[gap6]],Table2[[#This Row],[gap7]]),"")</f>
        <v/>
      </c>
      <c r="AX210" s="9" t="str">
        <f>IFERROR((Table2[[#This Row],[avg gap]]-starting_interval)*24*60*Table2[[#This Row],[Count]],"NA")</f>
        <v>NA</v>
      </c>
      <c r="AY210"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10" s="2"/>
    </row>
    <row r="211" spans="1:52" hidden="1" x14ac:dyDescent="0.3">
      <c r="A211" s="10" t="s">
        <v>173</v>
      </c>
      <c r="B211" s="1" t="s">
        <v>414</v>
      </c>
      <c r="C211" s="19">
        <v>22.3</v>
      </c>
      <c r="D211" s="32" t="str">
        <f>_xlfn.IFNA(VLOOKUP(Table2[[#This Row],[Name]],'Classic day 1 - players'!$A$2:$B$64,2,FALSE),"")</f>
        <v/>
      </c>
      <c r="E211" s="33" t="str">
        <f>IF(Table2[[#This Row],[Tee time1]]&lt;&gt;"",COUNTIF('Classic day 1 - players'!$B$2:$B$64,"="&amp;Table2[[#This Row],[Tee time1]]),"")</f>
        <v/>
      </c>
      <c r="F211" s="4" t="str">
        <f>_xlfn.IFNA(VLOOKUP(Table2[[#This Row],[Tee time1]],'Classic day 1 - groups'!$A$3:$F$20,6,FALSE),"")</f>
        <v/>
      </c>
      <c r="G211" s="11" t="str">
        <f>_xlfn.IFNA(VLOOKUP(Table2[[#This Row],[Tee time1]],'Classic day 1 - groups'!$A$3:$F$20,4,FALSE),"")</f>
        <v/>
      </c>
      <c r="H211" s="12" t="str">
        <f>_xlfn.IFNA(VLOOKUP(Table2[[#This Row],[Tee time1]],'Classic day 1 - groups'!$A$3:$F$20,5,FALSE),"")</f>
        <v/>
      </c>
      <c r="I211" s="69" t="str">
        <f>IFERROR((MAX(starting_interval,IF(Table2[[#This Row],[gap1]]="NA",Table2[[#This Row],[avg gap]],Table2[[#This Row],[gap1]]))-starting_interval)*Table2[[#This Row],[followers1]]/Table2[[#This Row],[group size]],"")</f>
        <v/>
      </c>
      <c r="J211" s="32" t="str">
        <f>_xlfn.IFNA(VLOOKUP(Table2[[#This Row],[Name]],'Classic day 2 - players'!$A$2:$B$64,2,FALSE),"")</f>
        <v/>
      </c>
      <c r="K211" s="4" t="str">
        <f>IF(Table2[[#This Row],[tee time2]]&lt;&gt;"",COUNTIF('Classic day 2 - players'!$B$2:$B$64,"="&amp;Table2[[#This Row],[tee time2]]),"")</f>
        <v/>
      </c>
      <c r="L211" s="4" t="str">
        <f>_xlfn.IFNA(VLOOKUP(Table2[[#This Row],[tee time2]],'Classic day 2 - groups'!$A$3:$F$20,6,FALSE),"")</f>
        <v/>
      </c>
      <c r="M211" s="4" t="str">
        <f>_xlfn.IFNA(VLOOKUP(Table2[[#This Row],[tee time2]],'Classic day 2 - groups'!$A$3:$F$20,4,FALSE),"")</f>
        <v/>
      </c>
      <c r="N211" s="65" t="str">
        <f>_xlfn.IFNA(VLOOKUP(Table2[[#This Row],[tee time2]],'Classic day 2 - groups'!$A$3:$F$20,5,FALSE),"")</f>
        <v/>
      </c>
      <c r="O211" s="69" t="str">
        <f>IFERROR((MAX(starting_interval,IF(Table2[[#This Row],[gap2]]="NA",Table2[[#This Row],[avg gap]],Table2[[#This Row],[gap2]]))-starting_interval)*Table2[[#This Row],[followers2]]/Table2[[#This Row],[group size2]],"")</f>
        <v/>
      </c>
      <c r="P211" s="32" t="str">
        <f>_xlfn.IFNA(VLOOKUP(Table2[[#This Row],[Name]],'Summer FD - players'!$A$2:$B$65,2,FALSE),"")</f>
        <v/>
      </c>
      <c r="Q211" s="59" t="str">
        <f>IF(Table2[[#This Row],[tee time3]]&lt;&gt;"",COUNTIF('Summer FD - players'!$B$2:$B$65,"="&amp;Table2[[#This Row],[tee time3]]),"")</f>
        <v/>
      </c>
      <c r="R211" s="59" t="str">
        <f>_xlfn.IFNA(VLOOKUP(Table2[[#This Row],[tee time3]],'Summer FD - groups'!$A$3:$F$20,6,FALSE),"")</f>
        <v/>
      </c>
      <c r="S211" s="4" t="str">
        <f>_xlfn.IFNA(VLOOKUP(Table2[[#This Row],[tee time3]],'Summer FD - groups'!$A$3:$F$20,4,FALSE),"")</f>
        <v/>
      </c>
      <c r="T211" s="13" t="str">
        <f>_xlfn.IFNA(VLOOKUP(Table2[[#This Row],[tee time3]],'Summer FD - groups'!$A$3:$F$20,5,FALSE),"")</f>
        <v/>
      </c>
      <c r="U211" s="69" t="str">
        <f>IF(Table2[[#This Row],[avg gap]]&lt;&gt;"",IFERROR((MAX(starting_interval,IF(Table2[[#This Row],[gap3]]="NA",Table2[[#This Row],[avg gap]],Table2[[#This Row],[gap3]]))-starting_interval)*Table2[[#This Row],[followers3]]/Table2[[#This Row],[group size3]],""),"")</f>
        <v/>
      </c>
      <c r="V211" s="32" t="str">
        <f>_xlfn.IFNA(VLOOKUP(Table2[[#This Row],[Name]],'6-6-6 - players'!$A$2:$B$69,2,FALSE),"")</f>
        <v/>
      </c>
      <c r="W211" s="59" t="str">
        <f>IF(Table2[[#This Row],[tee time4]]&lt;&gt;"",COUNTIF('6-6-6 - players'!$B$2:$B$69,"="&amp;Table2[[#This Row],[tee time4]]),"")</f>
        <v/>
      </c>
      <c r="X211" s="59" t="str">
        <f>_xlfn.IFNA(VLOOKUP(Table2[[#This Row],[tee time4]],'6-6-6 - groups'!$A$3:$F$20,6,FALSE),"")</f>
        <v/>
      </c>
      <c r="Y211" s="4" t="str">
        <f>_xlfn.IFNA(VLOOKUP(Table2[[#This Row],[tee time4]],'6-6-6 - groups'!$A$3:$F$20,4,FALSE),"")</f>
        <v/>
      </c>
      <c r="Z211" s="13" t="str">
        <f>_xlfn.IFNA(VLOOKUP(Table2[[#This Row],[tee time4]],'6-6-6 - groups'!$A$3:$F$20,5,FALSE),"")</f>
        <v/>
      </c>
      <c r="AA211" s="69" t="str">
        <f>IF(Table2[[#This Row],[avg gap]]&lt;&gt;"",IFERROR((MAX(starting_interval,IF(Table2[[#This Row],[gap4]]="NA",Table2[[#This Row],[avg gap]],Table2[[#This Row],[gap4]]))-starting_interval)*Table2[[#This Row],[followers4]]/Table2[[#This Row],[group size4]],""),"")</f>
        <v/>
      </c>
      <c r="AB211" s="32" t="str">
        <f>_xlfn.IFNA(VLOOKUP(Table2[[#This Row],[Name]],'Fall FD - players'!$A$2:$B$65,2,FALSE),"")</f>
        <v/>
      </c>
      <c r="AC211" s="59" t="str">
        <f>IF(Table2[[#This Row],[tee time5]]&lt;&gt;"",COUNTIF('Fall FD - players'!$B$2:$B$65,"="&amp;Table2[[#This Row],[tee time5]]),"")</f>
        <v/>
      </c>
      <c r="AD211" s="59" t="str">
        <f>_xlfn.IFNA(VLOOKUP(Table2[[#This Row],[tee time5]],'Fall FD - groups'!$A$3:$F$20,6,FALSE),"")</f>
        <v/>
      </c>
      <c r="AE211" s="4" t="str">
        <f>_xlfn.IFNA(VLOOKUP(Table2[[#This Row],[tee time5]],'Fall FD - groups'!$A$3:$F$20,4,FALSE),"")</f>
        <v/>
      </c>
      <c r="AF211" s="13" t="str">
        <f>IFERROR(MIN(_xlfn.IFNA(VLOOKUP(Table2[[#This Row],[tee time5]],'Fall FD - groups'!$A$3:$F$20,5,FALSE),""),starting_interval + Table2[[#This Row],[round5]] - standard_round_time),"")</f>
        <v/>
      </c>
      <c r="AG211" s="69" t="str">
        <f>IF(AND(Table2[[#This Row],[gap5]]="NA",Table2[[#This Row],[round5]]&lt;4/24),0,IFERROR((MAX(starting_interval,IF(Table2[[#This Row],[gap5]]="NA",Table2[[#This Row],[avg gap]],Table2[[#This Row],[gap5]]))-starting_interval)*Table2[[#This Row],[followers5]]/Table2[[#This Row],[group size5]],""))</f>
        <v/>
      </c>
      <c r="AH211" s="32" t="str">
        <f>_xlfn.IFNA(VLOOKUP(Table2[[#This Row],[Name]],'Stableford - players'!$A$2:$B$65,2,FALSE),"")</f>
        <v/>
      </c>
      <c r="AI211" s="59" t="str">
        <f>IF(Table2[[#This Row],[tee time6]]&lt;&gt;"",COUNTIF('Stableford - players'!$B$2:$B$65,"="&amp;Table2[[#This Row],[tee time6]]),"")</f>
        <v/>
      </c>
      <c r="AJ211" s="59" t="str">
        <f>_xlfn.IFNA(VLOOKUP(Table2[[#This Row],[tee time6]],'Stableford - groups'!$A$3:$F$20,6,FALSE),"")</f>
        <v/>
      </c>
      <c r="AK211" s="11" t="str">
        <f>_xlfn.IFNA(VLOOKUP(Table2[[#This Row],[tee time6]],'Stableford - groups'!$A$3:$F$20,4,FALSE),"")</f>
        <v/>
      </c>
      <c r="AL211" s="13" t="str">
        <f>_xlfn.IFNA(VLOOKUP(Table2[[#This Row],[tee time6]],'Stableford - groups'!$A$3:$F$20,5,FALSE),"")</f>
        <v/>
      </c>
      <c r="AM211" s="68" t="str">
        <f>IF(AND(Table2[[#This Row],[gap6]]="NA",Table2[[#This Row],[round6]]&lt;4/24),0,IFERROR((MAX(starting_interval,IF(Table2[[#This Row],[gap6]]="NA",Table2[[#This Row],[avg gap]],Table2[[#This Row],[gap6]]))-starting_interval)*Table2[[#This Row],[followers6]]/Table2[[#This Row],[group size6]],""))</f>
        <v/>
      </c>
      <c r="AN211" s="32" t="str">
        <f>_xlfn.IFNA(VLOOKUP(Table2[[#This Row],[Name]],'Turkey Shoot - players'!$A$2:$B$65,2,FALSE),"")</f>
        <v/>
      </c>
      <c r="AO211" s="59" t="str">
        <f>IF(Table2[[#This Row],[tee time7]]&lt;&gt;"",COUNTIF('Turkey Shoot - players'!$B$2:$B$65,"="&amp;Table2[[#This Row],[tee time7]]),"")</f>
        <v/>
      </c>
      <c r="AP211" s="59" t="str">
        <f>_xlfn.IFNA(VLOOKUP(Table2[[#This Row],[tee time7]],'Stableford - groups'!$A$3:$F$20,6,FALSE),"")</f>
        <v/>
      </c>
      <c r="AQ211" s="11" t="str">
        <f>_xlfn.IFNA(VLOOKUP(Table2[[#This Row],[tee time7]],'Turkey Shoot - groups'!$A$3:$F$20,4,FALSE),"")</f>
        <v/>
      </c>
      <c r="AR211" s="13" t="str">
        <f>_xlfn.IFNA(VLOOKUP(Table2[[#This Row],[tee time7]],'Turkey Shoot - groups'!$A$3:$F$20,5,FALSE),"")</f>
        <v/>
      </c>
      <c r="AS211" s="68" t="str">
        <f>IF(AND(Table2[[#This Row],[gap7]]="NA",Table2[[#This Row],[round7]]&lt;4/24),0,IFERROR((MAX(starting_interval,IF(Table2[[#This Row],[gap7]]="NA",Table2[[#This Row],[avg gap]],Table2[[#This Row],[gap7]]))-starting_interval)*Table2[[#This Row],[followers7]]/Table2[[#This Row],[group size7]],""))</f>
        <v/>
      </c>
      <c r="AT211" s="72">
        <f>COUNT(Table2[[#This Row],[Tee time1]],Table2[[#This Row],[tee time2]],Table2[[#This Row],[tee time3]],Table2[[#This Row],[tee time4]],Table2[[#This Row],[tee time5]],Table2[[#This Row],[tee time6]],Table2[[#This Row],[tee time7]])</f>
        <v>0</v>
      </c>
      <c r="AU211" s="4" t="str">
        <f>IFERROR(AVERAGE(Table2[[#This Row],[Tee time1]],Table2[[#This Row],[tee time2]],Table2[[#This Row],[tee time3]],Table2[[#This Row],[tee time4]],Table2[[#This Row],[tee time5]],Table2[[#This Row],[tee time6]],Table2[[#This Row],[tee time7]]),"")</f>
        <v/>
      </c>
      <c r="AV211" s="11" t="str">
        <f>IFERROR(MEDIAN(Table2[[#This Row],[round1]],Table2[[#This Row],[Round2]],Table2[[#This Row],[round3]],Table2[[#This Row],[round4]],Table2[[#This Row],[round5]],Table2[[#This Row],[round6]],Table2[[#This Row],[round7]]),"")</f>
        <v/>
      </c>
      <c r="AW211" s="11" t="str">
        <f>IFERROR(AVERAGE(Table2[[#This Row],[gap1]],Table2[[#This Row],[gap2]],Table2[[#This Row],[gap3]],Table2[[#This Row],[gap4]],Table2[[#This Row],[gap5]],Table2[[#This Row],[gap6]],Table2[[#This Row],[gap7]]),"")</f>
        <v/>
      </c>
      <c r="AX211" s="9" t="str">
        <f>IFERROR((Table2[[#This Row],[avg gap]]-starting_interval)*24*60*Table2[[#This Row],[Count]],"NA")</f>
        <v>NA</v>
      </c>
      <c r="AY211"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11" s="2"/>
    </row>
    <row r="212" spans="1:52" hidden="1" x14ac:dyDescent="0.3">
      <c r="A212" s="10" t="s">
        <v>176</v>
      </c>
      <c r="B212" s="1" t="s">
        <v>416</v>
      </c>
      <c r="C212" s="19">
        <v>36</v>
      </c>
      <c r="D212" s="32" t="str">
        <f>_xlfn.IFNA(VLOOKUP(Table2[[#This Row],[Name]],'Classic day 1 - players'!$A$2:$B$64,2,FALSE),"")</f>
        <v/>
      </c>
      <c r="E212" s="33" t="str">
        <f>IF(Table2[[#This Row],[Tee time1]]&lt;&gt;"",COUNTIF('Classic day 1 - players'!$B$2:$B$64,"="&amp;Table2[[#This Row],[Tee time1]]),"")</f>
        <v/>
      </c>
      <c r="F212" s="4" t="str">
        <f>_xlfn.IFNA(VLOOKUP(Table2[[#This Row],[Tee time1]],'Classic day 1 - groups'!$A$3:$F$20,6,FALSE),"")</f>
        <v/>
      </c>
      <c r="G212" s="11" t="str">
        <f>_xlfn.IFNA(VLOOKUP(Table2[[#This Row],[Tee time1]],'Classic day 1 - groups'!$A$3:$F$20,4,FALSE),"")</f>
        <v/>
      </c>
      <c r="H212" s="12" t="str">
        <f>_xlfn.IFNA(VLOOKUP(Table2[[#This Row],[Tee time1]],'Classic day 1 - groups'!$A$3:$F$20,5,FALSE),"")</f>
        <v/>
      </c>
      <c r="I212" s="69" t="str">
        <f>IFERROR((MAX(starting_interval,IF(Table2[[#This Row],[gap1]]="NA",Table2[[#This Row],[avg gap]],Table2[[#This Row],[gap1]]))-starting_interval)*Table2[[#This Row],[followers1]]/Table2[[#This Row],[group size]],"")</f>
        <v/>
      </c>
      <c r="J212" s="32" t="str">
        <f>_xlfn.IFNA(VLOOKUP(Table2[[#This Row],[Name]],'Classic day 2 - players'!$A$2:$B$64,2,FALSE),"")</f>
        <v/>
      </c>
      <c r="K212" s="4" t="str">
        <f>IF(Table2[[#This Row],[tee time2]]&lt;&gt;"",COUNTIF('Classic day 2 - players'!$B$2:$B$64,"="&amp;Table2[[#This Row],[tee time2]]),"")</f>
        <v/>
      </c>
      <c r="L212" s="4" t="str">
        <f>_xlfn.IFNA(VLOOKUP(Table2[[#This Row],[tee time2]],'Classic day 2 - groups'!$A$3:$F$20,6,FALSE),"")</f>
        <v/>
      </c>
      <c r="M212" s="4" t="str">
        <f>_xlfn.IFNA(VLOOKUP(Table2[[#This Row],[tee time2]],'Classic day 2 - groups'!$A$3:$F$20,4,FALSE),"")</f>
        <v/>
      </c>
      <c r="N212" s="65" t="str">
        <f>_xlfn.IFNA(VLOOKUP(Table2[[#This Row],[tee time2]],'Classic day 2 - groups'!$A$3:$F$20,5,FALSE),"")</f>
        <v/>
      </c>
      <c r="O212" s="69" t="str">
        <f>IFERROR((MAX(starting_interval,IF(Table2[[#This Row],[gap2]]="NA",Table2[[#This Row],[avg gap]],Table2[[#This Row],[gap2]]))-starting_interval)*Table2[[#This Row],[followers2]]/Table2[[#This Row],[group size2]],"")</f>
        <v/>
      </c>
      <c r="P212" s="32" t="str">
        <f>_xlfn.IFNA(VLOOKUP(Table2[[#This Row],[Name]],'Summer FD - players'!$A$2:$B$65,2,FALSE),"")</f>
        <v/>
      </c>
      <c r="Q212" s="59" t="str">
        <f>IF(Table2[[#This Row],[tee time3]]&lt;&gt;"",COUNTIF('Summer FD - players'!$B$2:$B$65,"="&amp;Table2[[#This Row],[tee time3]]),"")</f>
        <v/>
      </c>
      <c r="R212" s="59" t="str">
        <f>_xlfn.IFNA(VLOOKUP(Table2[[#This Row],[tee time3]],'Summer FD - groups'!$A$3:$F$20,6,FALSE),"")</f>
        <v/>
      </c>
      <c r="S212" s="4" t="str">
        <f>_xlfn.IFNA(VLOOKUP(Table2[[#This Row],[tee time3]],'Summer FD - groups'!$A$3:$F$20,4,FALSE),"")</f>
        <v/>
      </c>
      <c r="T212" s="13" t="str">
        <f>_xlfn.IFNA(VLOOKUP(Table2[[#This Row],[tee time3]],'Summer FD - groups'!$A$3:$F$20,5,FALSE),"")</f>
        <v/>
      </c>
      <c r="U212" s="69" t="str">
        <f>IF(Table2[[#This Row],[avg gap]]&lt;&gt;"",IFERROR((MAX(starting_interval,IF(Table2[[#This Row],[gap3]]="NA",Table2[[#This Row],[avg gap]],Table2[[#This Row],[gap3]]))-starting_interval)*Table2[[#This Row],[followers3]]/Table2[[#This Row],[group size3]],""),"")</f>
        <v/>
      </c>
      <c r="V212" s="32" t="str">
        <f>_xlfn.IFNA(VLOOKUP(Table2[[#This Row],[Name]],'6-6-6 - players'!$A$2:$B$69,2,FALSE),"")</f>
        <v/>
      </c>
      <c r="W212" s="59" t="str">
        <f>IF(Table2[[#This Row],[tee time4]]&lt;&gt;"",COUNTIF('6-6-6 - players'!$B$2:$B$69,"="&amp;Table2[[#This Row],[tee time4]]),"")</f>
        <v/>
      </c>
      <c r="X212" s="59" t="str">
        <f>_xlfn.IFNA(VLOOKUP(Table2[[#This Row],[tee time4]],'6-6-6 - groups'!$A$3:$F$20,6,FALSE),"")</f>
        <v/>
      </c>
      <c r="Y212" s="4" t="str">
        <f>_xlfn.IFNA(VLOOKUP(Table2[[#This Row],[tee time4]],'6-6-6 - groups'!$A$3:$F$20,4,FALSE),"")</f>
        <v/>
      </c>
      <c r="Z212" s="13" t="str">
        <f>_xlfn.IFNA(VLOOKUP(Table2[[#This Row],[tee time4]],'6-6-6 - groups'!$A$3:$F$20,5,FALSE),"")</f>
        <v/>
      </c>
      <c r="AA212" s="69" t="str">
        <f>IF(Table2[[#This Row],[avg gap]]&lt;&gt;"",IFERROR((MAX(starting_interval,IF(Table2[[#This Row],[gap4]]="NA",Table2[[#This Row],[avg gap]],Table2[[#This Row],[gap4]]))-starting_interval)*Table2[[#This Row],[followers4]]/Table2[[#This Row],[group size4]],""),"")</f>
        <v/>
      </c>
      <c r="AB212" s="32" t="str">
        <f>_xlfn.IFNA(VLOOKUP(Table2[[#This Row],[Name]],'Fall FD - players'!$A$2:$B$65,2,FALSE),"")</f>
        <v/>
      </c>
      <c r="AC212" s="59" t="str">
        <f>IF(Table2[[#This Row],[tee time5]]&lt;&gt;"",COUNTIF('Fall FD - players'!$B$2:$B$65,"="&amp;Table2[[#This Row],[tee time5]]),"")</f>
        <v/>
      </c>
      <c r="AD212" s="59" t="str">
        <f>_xlfn.IFNA(VLOOKUP(Table2[[#This Row],[tee time5]],'Fall FD - groups'!$A$3:$F$20,6,FALSE),"")</f>
        <v/>
      </c>
      <c r="AE212" s="4" t="str">
        <f>_xlfn.IFNA(VLOOKUP(Table2[[#This Row],[tee time5]],'Fall FD - groups'!$A$3:$F$20,4,FALSE),"")</f>
        <v/>
      </c>
      <c r="AF212" s="13" t="str">
        <f>IFERROR(MIN(_xlfn.IFNA(VLOOKUP(Table2[[#This Row],[tee time5]],'Fall FD - groups'!$A$3:$F$20,5,FALSE),""),starting_interval + Table2[[#This Row],[round5]] - standard_round_time),"")</f>
        <v/>
      </c>
      <c r="AG212" s="69" t="str">
        <f>IF(AND(Table2[[#This Row],[gap5]]="NA",Table2[[#This Row],[round5]]&lt;4/24),0,IFERROR((MAX(starting_interval,IF(Table2[[#This Row],[gap5]]="NA",Table2[[#This Row],[avg gap]],Table2[[#This Row],[gap5]]))-starting_interval)*Table2[[#This Row],[followers5]]/Table2[[#This Row],[group size5]],""))</f>
        <v/>
      </c>
      <c r="AH212" s="32" t="str">
        <f>_xlfn.IFNA(VLOOKUP(Table2[[#This Row],[Name]],'Stableford - players'!$A$2:$B$65,2,FALSE),"")</f>
        <v/>
      </c>
      <c r="AI212" s="59" t="str">
        <f>IF(Table2[[#This Row],[tee time6]]&lt;&gt;"",COUNTIF('Stableford - players'!$B$2:$B$65,"="&amp;Table2[[#This Row],[tee time6]]),"")</f>
        <v/>
      </c>
      <c r="AJ212" s="59" t="str">
        <f>_xlfn.IFNA(VLOOKUP(Table2[[#This Row],[tee time6]],'Stableford - groups'!$A$3:$F$20,6,FALSE),"")</f>
        <v/>
      </c>
      <c r="AK212" s="11" t="str">
        <f>_xlfn.IFNA(VLOOKUP(Table2[[#This Row],[tee time6]],'Stableford - groups'!$A$3:$F$20,4,FALSE),"")</f>
        <v/>
      </c>
      <c r="AL212" s="13" t="str">
        <f>_xlfn.IFNA(VLOOKUP(Table2[[#This Row],[tee time6]],'Stableford - groups'!$A$3:$F$20,5,FALSE),"")</f>
        <v/>
      </c>
      <c r="AM212" s="68" t="str">
        <f>IF(AND(Table2[[#This Row],[gap6]]="NA",Table2[[#This Row],[round6]]&lt;4/24),0,IFERROR((MAX(starting_interval,IF(Table2[[#This Row],[gap6]]="NA",Table2[[#This Row],[avg gap]],Table2[[#This Row],[gap6]]))-starting_interval)*Table2[[#This Row],[followers6]]/Table2[[#This Row],[group size6]],""))</f>
        <v/>
      </c>
      <c r="AN212" s="32" t="str">
        <f>_xlfn.IFNA(VLOOKUP(Table2[[#This Row],[Name]],'Turkey Shoot - players'!$A$2:$B$65,2,FALSE),"")</f>
        <v/>
      </c>
      <c r="AO212" s="59" t="str">
        <f>IF(Table2[[#This Row],[tee time7]]&lt;&gt;"",COUNTIF('Turkey Shoot - players'!$B$2:$B$65,"="&amp;Table2[[#This Row],[tee time7]]),"")</f>
        <v/>
      </c>
      <c r="AP212" s="59" t="str">
        <f>_xlfn.IFNA(VLOOKUP(Table2[[#This Row],[tee time7]],'Stableford - groups'!$A$3:$F$20,6,FALSE),"")</f>
        <v/>
      </c>
      <c r="AQ212" s="11" t="str">
        <f>_xlfn.IFNA(VLOOKUP(Table2[[#This Row],[tee time7]],'Turkey Shoot - groups'!$A$3:$F$20,4,FALSE),"")</f>
        <v/>
      </c>
      <c r="AR212" s="13" t="str">
        <f>_xlfn.IFNA(VLOOKUP(Table2[[#This Row],[tee time7]],'Turkey Shoot - groups'!$A$3:$F$20,5,FALSE),"")</f>
        <v/>
      </c>
      <c r="AS212" s="68" t="str">
        <f>IF(AND(Table2[[#This Row],[gap7]]="NA",Table2[[#This Row],[round7]]&lt;4/24),0,IFERROR((MAX(starting_interval,IF(Table2[[#This Row],[gap7]]="NA",Table2[[#This Row],[avg gap]],Table2[[#This Row],[gap7]]))-starting_interval)*Table2[[#This Row],[followers7]]/Table2[[#This Row],[group size7]],""))</f>
        <v/>
      </c>
      <c r="AT212" s="72">
        <f>COUNT(Table2[[#This Row],[Tee time1]],Table2[[#This Row],[tee time2]],Table2[[#This Row],[tee time3]],Table2[[#This Row],[tee time4]],Table2[[#This Row],[tee time5]],Table2[[#This Row],[tee time6]],Table2[[#This Row],[tee time7]])</f>
        <v>0</v>
      </c>
      <c r="AU212" s="4" t="str">
        <f>IFERROR(AVERAGE(Table2[[#This Row],[Tee time1]],Table2[[#This Row],[tee time2]],Table2[[#This Row],[tee time3]],Table2[[#This Row],[tee time4]],Table2[[#This Row],[tee time5]],Table2[[#This Row],[tee time6]],Table2[[#This Row],[tee time7]]),"")</f>
        <v/>
      </c>
      <c r="AV212" s="11" t="str">
        <f>IFERROR(MEDIAN(Table2[[#This Row],[round1]],Table2[[#This Row],[Round2]],Table2[[#This Row],[round3]],Table2[[#This Row],[round4]],Table2[[#This Row],[round5]],Table2[[#This Row],[round6]],Table2[[#This Row],[round7]]),"")</f>
        <v/>
      </c>
      <c r="AW212" s="11" t="str">
        <f>IFERROR(AVERAGE(Table2[[#This Row],[gap1]],Table2[[#This Row],[gap2]],Table2[[#This Row],[gap3]],Table2[[#This Row],[gap4]],Table2[[#This Row],[gap5]],Table2[[#This Row],[gap6]],Table2[[#This Row],[gap7]]),"")</f>
        <v/>
      </c>
      <c r="AX212" s="9" t="str">
        <f>IFERROR((Table2[[#This Row],[avg gap]]-starting_interval)*24*60*Table2[[#This Row],[Count]],"NA")</f>
        <v>NA</v>
      </c>
      <c r="AY212"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12" s="2"/>
    </row>
    <row r="213" spans="1:52" hidden="1" x14ac:dyDescent="0.3">
      <c r="A213" s="10" t="s">
        <v>177</v>
      </c>
      <c r="B213" s="1" t="s">
        <v>417</v>
      </c>
      <c r="C213" s="19">
        <v>8.1999999999999993</v>
      </c>
      <c r="D213" s="32" t="str">
        <f>_xlfn.IFNA(VLOOKUP(Table2[[#This Row],[Name]],'Classic day 1 - players'!$A$2:$B$64,2,FALSE),"")</f>
        <v/>
      </c>
      <c r="E213" s="33" t="str">
        <f>IF(Table2[[#This Row],[Tee time1]]&lt;&gt;"",COUNTIF('Classic day 1 - players'!$B$2:$B$64,"="&amp;Table2[[#This Row],[Tee time1]]),"")</f>
        <v/>
      </c>
      <c r="F213" s="4" t="str">
        <f>_xlfn.IFNA(VLOOKUP(Table2[[#This Row],[Tee time1]],'Classic day 1 - groups'!$A$3:$F$20,6,FALSE),"")</f>
        <v/>
      </c>
      <c r="G213" s="11" t="str">
        <f>_xlfn.IFNA(VLOOKUP(Table2[[#This Row],[Tee time1]],'Classic day 1 - groups'!$A$3:$F$20,4,FALSE),"")</f>
        <v/>
      </c>
      <c r="H213" s="12" t="str">
        <f>_xlfn.IFNA(VLOOKUP(Table2[[#This Row],[Tee time1]],'Classic day 1 - groups'!$A$3:$F$20,5,FALSE),"")</f>
        <v/>
      </c>
      <c r="I213" s="69" t="str">
        <f>IFERROR((MAX(starting_interval,IF(Table2[[#This Row],[gap1]]="NA",Table2[[#This Row],[avg gap]],Table2[[#This Row],[gap1]]))-starting_interval)*Table2[[#This Row],[followers1]]/Table2[[#This Row],[group size]],"")</f>
        <v/>
      </c>
      <c r="J213" s="32" t="str">
        <f>_xlfn.IFNA(VLOOKUP(Table2[[#This Row],[Name]],'Classic day 2 - players'!$A$2:$B$64,2,FALSE),"")</f>
        <v/>
      </c>
      <c r="K213" s="4" t="str">
        <f>IF(Table2[[#This Row],[tee time2]]&lt;&gt;"",COUNTIF('Classic day 2 - players'!$B$2:$B$64,"="&amp;Table2[[#This Row],[tee time2]]),"")</f>
        <v/>
      </c>
      <c r="L213" s="4" t="str">
        <f>_xlfn.IFNA(VLOOKUP(Table2[[#This Row],[tee time2]],'Classic day 2 - groups'!$A$3:$F$20,6,FALSE),"")</f>
        <v/>
      </c>
      <c r="M213" s="4" t="str">
        <f>_xlfn.IFNA(VLOOKUP(Table2[[#This Row],[tee time2]],'Classic day 2 - groups'!$A$3:$F$20,4,FALSE),"")</f>
        <v/>
      </c>
      <c r="N213" s="65" t="str">
        <f>_xlfn.IFNA(VLOOKUP(Table2[[#This Row],[tee time2]],'Classic day 2 - groups'!$A$3:$F$20,5,FALSE),"")</f>
        <v/>
      </c>
      <c r="O213" s="69" t="str">
        <f>IFERROR((MAX(starting_interval,IF(Table2[[#This Row],[gap2]]="NA",Table2[[#This Row],[avg gap]],Table2[[#This Row],[gap2]]))-starting_interval)*Table2[[#This Row],[followers2]]/Table2[[#This Row],[group size2]],"")</f>
        <v/>
      </c>
      <c r="P213" s="32" t="str">
        <f>_xlfn.IFNA(VLOOKUP(Table2[[#This Row],[Name]],'Summer FD - players'!$A$2:$B$65,2,FALSE),"")</f>
        <v/>
      </c>
      <c r="Q213" s="59" t="str">
        <f>IF(Table2[[#This Row],[tee time3]]&lt;&gt;"",COUNTIF('Summer FD - players'!$B$2:$B$65,"="&amp;Table2[[#This Row],[tee time3]]),"")</f>
        <v/>
      </c>
      <c r="R213" s="59" t="str">
        <f>_xlfn.IFNA(VLOOKUP(Table2[[#This Row],[tee time3]],'Summer FD - groups'!$A$3:$F$20,6,FALSE),"")</f>
        <v/>
      </c>
      <c r="S213" s="4" t="str">
        <f>_xlfn.IFNA(VLOOKUP(Table2[[#This Row],[tee time3]],'Summer FD - groups'!$A$3:$F$20,4,FALSE),"")</f>
        <v/>
      </c>
      <c r="T213" s="13" t="str">
        <f>_xlfn.IFNA(VLOOKUP(Table2[[#This Row],[tee time3]],'Summer FD - groups'!$A$3:$F$20,5,FALSE),"")</f>
        <v/>
      </c>
      <c r="U213" s="69" t="str">
        <f>IF(Table2[[#This Row],[avg gap]]&lt;&gt;"",IFERROR((MAX(starting_interval,IF(Table2[[#This Row],[gap3]]="NA",Table2[[#This Row],[avg gap]],Table2[[#This Row],[gap3]]))-starting_interval)*Table2[[#This Row],[followers3]]/Table2[[#This Row],[group size3]],""),"")</f>
        <v/>
      </c>
      <c r="V213" s="32" t="str">
        <f>_xlfn.IFNA(VLOOKUP(Table2[[#This Row],[Name]],'6-6-6 - players'!$A$2:$B$69,2,FALSE),"")</f>
        <v/>
      </c>
      <c r="W213" s="59" t="str">
        <f>IF(Table2[[#This Row],[tee time4]]&lt;&gt;"",COUNTIF('6-6-6 - players'!$B$2:$B$69,"="&amp;Table2[[#This Row],[tee time4]]),"")</f>
        <v/>
      </c>
      <c r="X213" s="59" t="str">
        <f>_xlfn.IFNA(VLOOKUP(Table2[[#This Row],[tee time4]],'6-6-6 - groups'!$A$3:$F$20,6,FALSE),"")</f>
        <v/>
      </c>
      <c r="Y213" s="4" t="str">
        <f>_xlfn.IFNA(VLOOKUP(Table2[[#This Row],[tee time4]],'6-6-6 - groups'!$A$3:$F$20,4,FALSE),"")</f>
        <v/>
      </c>
      <c r="Z213" s="13" t="str">
        <f>_xlfn.IFNA(VLOOKUP(Table2[[#This Row],[tee time4]],'6-6-6 - groups'!$A$3:$F$20,5,FALSE),"")</f>
        <v/>
      </c>
      <c r="AA213" s="69" t="str">
        <f>IF(Table2[[#This Row],[avg gap]]&lt;&gt;"",IFERROR((MAX(starting_interval,IF(Table2[[#This Row],[gap4]]="NA",Table2[[#This Row],[avg gap]],Table2[[#This Row],[gap4]]))-starting_interval)*Table2[[#This Row],[followers4]]/Table2[[#This Row],[group size4]],""),"")</f>
        <v/>
      </c>
      <c r="AB213" s="32" t="str">
        <f>_xlfn.IFNA(VLOOKUP(Table2[[#This Row],[Name]],'Fall FD - players'!$A$2:$B$65,2,FALSE),"")</f>
        <v/>
      </c>
      <c r="AC213" s="59" t="str">
        <f>IF(Table2[[#This Row],[tee time5]]&lt;&gt;"",COUNTIF('Fall FD - players'!$B$2:$B$65,"="&amp;Table2[[#This Row],[tee time5]]),"")</f>
        <v/>
      </c>
      <c r="AD213" s="59" t="str">
        <f>_xlfn.IFNA(VLOOKUP(Table2[[#This Row],[tee time5]],'Fall FD - groups'!$A$3:$F$20,6,FALSE),"")</f>
        <v/>
      </c>
      <c r="AE213" s="4" t="str">
        <f>_xlfn.IFNA(VLOOKUP(Table2[[#This Row],[tee time5]],'Fall FD - groups'!$A$3:$F$20,4,FALSE),"")</f>
        <v/>
      </c>
      <c r="AF213" s="13" t="str">
        <f>IFERROR(MIN(_xlfn.IFNA(VLOOKUP(Table2[[#This Row],[tee time5]],'Fall FD - groups'!$A$3:$F$20,5,FALSE),""),starting_interval + Table2[[#This Row],[round5]] - standard_round_time),"")</f>
        <v/>
      </c>
      <c r="AG213" s="69" t="str">
        <f>IF(AND(Table2[[#This Row],[gap5]]="NA",Table2[[#This Row],[round5]]&lt;4/24),0,IFERROR((MAX(starting_interval,IF(Table2[[#This Row],[gap5]]="NA",Table2[[#This Row],[avg gap]],Table2[[#This Row],[gap5]]))-starting_interval)*Table2[[#This Row],[followers5]]/Table2[[#This Row],[group size5]],""))</f>
        <v/>
      </c>
      <c r="AH213" s="32" t="str">
        <f>_xlfn.IFNA(VLOOKUP(Table2[[#This Row],[Name]],'Stableford - players'!$A$2:$B$65,2,FALSE),"")</f>
        <v/>
      </c>
      <c r="AI213" s="59" t="str">
        <f>IF(Table2[[#This Row],[tee time6]]&lt;&gt;"",COUNTIF('Stableford - players'!$B$2:$B$65,"="&amp;Table2[[#This Row],[tee time6]]),"")</f>
        <v/>
      </c>
      <c r="AJ213" s="59" t="str">
        <f>_xlfn.IFNA(VLOOKUP(Table2[[#This Row],[tee time6]],'Stableford - groups'!$A$3:$F$20,6,FALSE),"")</f>
        <v/>
      </c>
      <c r="AK213" s="11" t="str">
        <f>_xlfn.IFNA(VLOOKUP(Table2[[#This Row],[tee time6]],'Stableford - groups'!$A$3:$F$20,4,FALSE),"")</f>
        <v/>
      </c>
      <c r="AL213" s="13" t="str">
        <f>_xlfn.IFNA(VLOOKUP(Table2[[#This Row],[tee time6]],'Stableford - groups'!$A$3:$F$20,5,FALSE),"")</f>
        <v/>
      </c>
      <c r="AM213" s="68" t="str">
        <f>IF(AND(Table2[[#This Row],[gap6]]="NA",Table2[[#This Row],[round6]]&lt;4/24),0,IFERROR((MAX(starting_interval,IF(Table2[[#This Row],[gap6]]="NA",Table2[[#This Row],[avg gap]],Table2[[#This Row],[gap6]]))-starting_interval)*Table2[[#This Row],[followers6]]/Table2[[#This Row],[group size6]],""))</f>
        <v/>
      </c>
      <c r="AN213" s="32" t="str">
        <f>_xlfn.IFNA(VLOOKUP(Table2[[#This Row],[Name]],'Turkey Shoot - players'!$A$2:$B$65,2,FALSE),"")</f>
        <v/>
      </c>
      <c r="AO213" s="59" t="str">
        <f>IF(Table2[[#This Row],[tee time7]]&lt;&gt;"",COUNTIF('Turkey Shoot - players'!$B$2:$B$65,"="&amp;Table2[[#This Row],[tee time7]]),"")</f>
        <v/>
      </c>
      <c r="AP213" s="59" t="str">
        <f>_xlfn.IFNA(VLOOKUP(Table2[[#This Row],[tee time7]],'Stableford - groups'!$A$3:$F$20,6,FALSE),"")</f>
        <v/>
      </c>
      <c r="AQ213" s="11" t="str">
        <f>_xlfn.IFNA(VLOOKUP(Table2[[#This Row],[tee time7]],'Turkey Shoot - groups'!$A$3:$F$20,4,FALSE),"")</f>
        <v/>
      </c>
      <c r="AR213" s="13" t="str">
        <f>_xlfn.IFNA(VLOOKUP(Table2[[#This Row],[tee time7]],'Turkey Shoot - groups'!$A$3:$F$20,5,FALSE),"")</f>
        <v/>
      </c>
      <c r="AS213" s="68" t="str">
        <f>IF(AND(Table2[[#This Row],[gap7]]="NA",Table2[[#This Row],[round7]]&lt;4/24),0,IFERROR((MAX(starting_interval,IF(Table2[[#This Row],[gap7]]="NA",Table2[[#This Row],[avg gap]],Table2[[#This Row],[gap7]]))-starting_interval)*Table2[[#This Row],[followers7]]/Table2[[#This Row],[group size7]],""))</f>
        <v/>
      </c>
      <c r="AT213" s="72">
        <f>COUNT(Table2[[#This Row],[Tee time1]],Table2[[#This Row],[tee time2]],Table2[[#This Row],[tee time3]],Table2[[#This Row],[tee time4]],Table2[[#This Row],[tee time5]],Table2[[#This Row],[tee time6]],Table2[[#This Row],[tee time7]])</f>
        <v>0</v>
      </c>
      <c r="AU213" s="4" t="str">
        <f>IFERROR(AVERAGE(Table2[[#This Row],[Tee time1]],Table2[[#This Row],[tee time2]],Table2[[#This Row],[tee time3]],Table2[[#This Row],[tee time4]],Table2[[#This Row],[tee time5]],Table2[[#This Row],[tee time6]],Table2[[#This Row],[tee time7]]),"")</f>
        <v/>
      </c>
      <c r="AV213" s="11" t="str">
        <f>IFERROR(MEDIAN(Table2[[#This Row],[round1]],Table2[[#This Row],[Round2]],Table2[[#This Row],[round3]],Table2[[#This Row],[round4]],Table2[[#This Row],[round5]],Table2[[#This Row],[round6]],Table2[[#This Row],[round7]]),"")</f>
        <v/>
      </c>
      <c r="AW213" s="11" t="str">
        <f>IFERROR(AVERAGE(Table2[[#This Row],[gap1]],Table2[[#This Row],[gap2]],Table2[[#This Row],[gap3]],Table2[[#This Row],[gap4]],Table2[[#This Row],[gap5]],Table2[[#This Row],[gap6]],Table2[[#This Row],[gap7]]),"")</f>
        <v/>
      </c>
      <c r="AX213" s="9" t="str">
        <f>IFERROR((Table2[[#This Row],[avg gap]]-starting_interval)*24*60*Table2[[#This Row],[Count]],"NA")</f>
        <v>NA</v>
      </c>
      <c r="AY213"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13" s="2"/>
    </row>
    <row r="214" spans="1:52" hidden="1" x14ac:dyDescent="0.3">
      <c r="A214" s="10" t="s">
        <v>180</v>
      </c>
      <c r="B214" s="1" t="s">
        <v>420</v>
      </c>
      <c r="C214" s="19">
        <v>13.4</v>
      </c>
      <c r="D214" s="32" t="str">
        <f>_xlfn.IFNA(VLOOKUP(Table2[[#This Row],[Name]],'Classic day 1 - players'!$A$2:$B$64,2,FALSE),"")</f>
        <v/>
      </c>
      <c r="E214" s="33" t="str">
        <f>IF(Table2[[#This Row],[Tee time1]]&lt;&gt;"",COUNTIF('Classic day 1 - players'!$B$2:$B$64,"="&amp;Table2[[#This Row],[Tee time1]]),"")</f>
        <v/>
      </c>
      <c r="F214" s="4" t="str">
        <f>_xlfn.IFNA(VLOOKUP(Table2[[#This Row],[Tee time1]],'Classic day 1 - groups'!$A$3:$F$20,6,FALSE),"")</f>
        <v/>
      </c>
      <c r="G214" s="11" t="str">
        <f>_xlfn.IFNA(VLOOKUP(Table2[[#This Row],[Tee time1]],'Classic day 1 - groups'!$A$3:$F$20,4,FALSE),"")</f>
        <v/>
      </c>
      <c r="H214" s="12" t="str">
        <f>_xlfn.IFNA(VLOOKUP(Table2[[#This Row],[Tee time1]],'Classic day 1 - groups'!$A$3:$F$20,5,FALSE),"")</f>
        <v/>
      </c>
      <c r="I214" s="69" t="str">
        <f>IFERROR((MAX(starting_interval,IF(Table2[[#This Row],[gap1]]="NA",Table2[[#This Row],[avg gap]],Table2[[#This Row],[gap1]]))-starting_interval)*Table2[[#This Row],[followers1]]/Table2[[#This Row],[group size]],"")</f>
        <v/>
      </c>
      <c r="J214" s="32" t="str">
        <f>_xlfn.IFNA(VLOOKUP(Table2[[#This Row],[Name]],'Classic day 2 - players'!$A$2:$B$64,2,FALSE),"")</f>
        <v/>
      </c>
      <c r="K214" s="4" t="str">
        <f>IF(Table2[[#This Row],[tee time2]]&lt;&gt;"",COUNTIF('Classic day 2 - players'!$B$2:$B$64,"="&amp;Table2[[#This Row],[tee time2]]),"")</f>
        <v/>
      </c>
      <c r="L214" s="4" t="str">
        <f>_xlfn.IFNA(VLOOKUP(Table2[[#This Row],[tee time2]],'Classic day 2 - groups'!$A$3:$F$20,6,FALSE),"")</f>
        <v/>
      </c>
      <c r="M214" s="4" t="str">
        <f>_xlfn.IFNA(VLOOKUP(Table2[[#This Row],[tee time2]],'Classic day 2 - groups'!$A$3:$F$20,4,FALSE),"")</f>
        <v/>
      </c>
      <c r="N214" s="65" t="str">
        <f>_xlfn.IFNA(VLOOKUP(Table2[[#This Row],[tee time2]],'Classic day 2 - groups'!$A$3:$F$20,5,FALSE),"")</f>
        <v/>
      </c>
      <c r="O214" s="69" t="str">
        <f>IFERROR((MAX(starting_interval,IF(Table2[[#This Row],[gap2]]="NA",Table2[[#This Row],[avg gap]],Table2[[#This Row],[gap2]]))-starting_interval)*Table2[[#This Row],[followers2]]/Table2[[#This Row],[group size2]],"")</f>
        <v/>
      </c>
      <c r="P214" s="32" t="str">
        <f>_xlfn.IFNA(VLOOKUP(Table2[[#This Row],[Name]],'Summer FD - players'!$A$2:$B$65,2,FALSE),"")</f>
        <v/>
      </c>
      <c r="Q214" s="59" t="str">
        <f>IF(Table2[[#This Row],[tee time3]]&lt;&gt;"",COUNTIF('Summer FD - players'!$B$2:$B$65,"="&amp;Table2[[#This Row],[tee time3]]),"")</f>
        <v/>
      </c>
      <c r="R214" s="59" t="str">
        <f>_xlfn.IFNA(VLOOKUP(Table2[[#This Row],[tee time3]],'Summer FD - groups'!$A$3:$F$20,6,FALSE),"")</f>
        <v/>
      </c>
      <c r="S214" s="4" t="str">
        <f>_xlfn.IFNA(VLOOKUP(Table2[[#This Row],[tee time3]],'Summer FD - groups'!$A$3:$F$20,4,FALSE),"")</f>
        <v/>
      </c>
      <c r="T214" s="13" t="str">
        <f>_xlfn.IFNA(VLOOKUP(Table2[[#This Row],[tee time3]],'Summer FD - groups'!$A$3:$F$20,5,FALSE),"")</f>
        <v/>
      </c>
      <c r="U214" s="69" t="str">
        <f>IF(Table2[[#This Row],[avg gap]]&lt;&gt;"",IFERROR((MAX(starting_interval,IF(Table2[[#This Row],[gap3]]="NA",Table2[[#This Row],[avg gap]],Table2[[#This Row],[gap3]]))-starting_interval)*Table2[[#This Row],[followers3]]/Table2[[#This Row],[group size3]],""),"")</f>
        <v/>
      </c>
      <c r="V214" s="32" t="str">
        <f>_xlfn.IFNA(VLOOKUP(Table2[[#This Row],[Name]],'6-6-6 - players'!$A$2:$B$69,2,FALSE),"")</f>
        <v/>
      </c>
      <c r="W214" s="59" t="str">
        <f>IF(Table2[[#This Row],[tee time4]]&lt;&gt;"",COUNTIF('6-6-6 - players'!$B$2:$B$69,"="&amp;Table2[[#This Row],[tee time4]]),"")</f>
        <v/>
      </c>
      <c r="X214" s="59" t="str">
        <f>_xlfn.IFNA(VLOOKUP(Table2[[#This Row],[tee time4]],'6-6-6 - groups'!$A$3:$F$20,6,FALSE),"")</f>
        <v/>
      </c>
      <c r="Y214" s="4" t="str">
        <f>_xlfn.IFNA(VLOOKUP(Table2[[#This Row],[tee time4]],'6-6-6 - groups'!$A$3:$F$20,4,FALSE),"")</f>
        <v/>
      </c>
      <c r="Z214" s="13" t="str">
        <f>_xlfn.IFNA(VLOOKUP(Table2[[#This Row],[tee time4]],'6-6-6 - groups'!$A$3:$F$20,5,FALSE),"")</f>
        <v/>
      </c>
      <c r="AA214" s="69" t="str">
        <f>IF(Table2[[#This Row],[avg gap]]&lt;&gt;"",IFERROR((MAX(starting_interval,IF(Table2[[#This Row],[gap4]]="NA",Table2[[#This Row],[avg gap]],Table2[[#This Row],[gap4]]))-starting_interval)*Table2[[#This Row],[followers4]]/Table2[[#This Row],[group size4]],""),"")</f>
        <v/>
      </c>
      <c r="AB214" s="32" t="str">
        <f>_xlfn.IFNA(VLOOKUP(Table2[[#This Row],[Name]],'Fall FD - players'!$A$2:$B$65,2,FALSE),"")</f>
        <v/>
      </c>
      <c r="AC214" s="59" t="str">
        <f>IF(Table2[[#This Row],[tee time5]]&lt;&gt;"",COUNTIF('Fall FD - players'!$B$2:$B$65,"="&amp;Table2[[#This Row],[tee time5]]),"")</f>
        <v/>
      </c>
      <c r="AD214" s="59" t="str">
        <f>_xlfn.IFNA(VLOOKUP(Table2[[#This Row],[tee time5]],'Fall FD - groups'!$A$3:$F$20,6,FALSE),"")</f>
        <v/>
      </c>
      <c r="AE214" s="4" t="str">
        <f>_xlfn.IFNA(VLOOKUP(Table2[[#This Row],[tee time5]],'Fall FD - groups'!$A$3:$F$20,4,FALSE),"")</f>
        <v/>
      </c>
      <c r="AF214" s="13" t="str">
        <f>IFERROR(MIN(_xlfn.IFNA(VLOOKUP(Table2[[#This Row],[tee time5]],'Fall FD - groups'!$A$3:$F$20,5,FALSE),""),starting_interval + Table2[[#This Row],[round5]] - standard_round_time),"")</f>
        <v/>
      </c>
      <c r="AG214" s="69" t="str">
        <f>IF(AND(Table2[[#This Row],[gap5]]="NA",Table2[[#This Row],[round5]]&lt;4/24),0,IFERROR((MAX(starting_interval,IF(Table2[[#This Row],[gap5]]="NA",Table2[[#This Row],[avg gap]],Table2[[#This Row],[gap5]]))-starting_interval)*Table2[[#This Row],[followers5]]/Table2[[#This Row],[group size5]],""))</f>
        <v/>
      </c>
      <c r="AH214" s="32" t="str">
        <f>_xlfn.IFNA(VLOOKUP(Table2[[#This Row],[Name]],'Stableford - players'!$A$2:$B$65,2,FALSE),"")</f>
        <v/>
      </c>
      <c r="AI214" s="59" t="str">
        <f>IF(Table2[[#This Row],[tee time6]]&lt;&gt;"",COUNTIF('Stableford - players'!$B$2:$B$65,"="&amp;Table2[[#This Row],[tee time6]]),"")</f>
        <v/>
      </c>
      <c r="AJ214" s="59" t="str">
        <f>_xlfn.IFNA(VLOOKUP(Table2[[#This Row],[tee time6]],'Stableford - groups'!$A$3:$F$20,6,FALSE),"")</f>
        <v/>
      </c>
      <c r="AK214" s="11" t="str">
        <f>_xlfn.IFNA(VLOOKUP(Table2[[#This Row],[tee time6]],'Stableford - groups'!$A$3:$F$20,4,FALSE),"")</f>
        <v/>
      </c>
      <c r="AL214" s="13" t="str">
        <f>_xlfn.IFNA(VLOOKUP(Table2[[#This Row],[tee time6]],'Stableford - groups'!$A$3:$F$20,5,FALSE),"")</f>
        <v/>
      </c>
      <c r="AM214" s="68" t="str">
        <f>IF(AND(Table2[[#This Row],[gap6]]="NA",Table2[[#This Row],[round6]]&lt;4/24),0,IFERROR((MAX(starting_interval,IF(Table2[[#This Row],[gap6]]="NA",Table2[[#This Row],[avg gap]],Table2[[#This Row],[gap6]]))-starting_interval)*Table2[[#This Row],[followers6]]/Table2[[#This Row],[group size6]],""))</f>
        <v/>
      </c>
      <c r="AN214" s="32" t="str">
        <f>_xlfn.IFNA(VLOOKUP(Table2[[#This Row],[Name]],'Turkey Shoot - players'!$A$2:$B$65,2,FALSE),"")</f>
        <v/>
      </c>
      <c r="AO214" s="59" t="str">
        <f>IF(Table2[[#This Row],[tee time7]]&lt;&gt;"",COUNTIF('Turkey Shoot - players'!$B$2:$B$65,"="&amp;Table2[[#This Row],[tee time7]]),"")</f>
        <v/>
      </c>
      <c r="AP214" s="59" t="str">
        <f>_xlfn.IFNA(VLOOKUP(Table2[[#This Row],[tee time7]],'Stableford - groups'!$A$3:$F$20,6,FALSE),"")</f>
        <v/>
      </c>
      <c r="AQ214" s="11" t="str">
        <f>_xlfn.IFNA(VLOOKUP(Table2[[#This Row],[tee time7]],'Turkey Shoot - groups'!$A$3:$F$20,4,FALSE),"")</f>
        <v/>
      </c>
      <c r="AR214" s="13" t="str">
        <f>_xlfn.IFNA(VLOOKUP(Table2[[#This Row],[tee time7]],'Turkey Shoot - groups'!$A$3:$F$20,5,FALSE),"")</f>
        <v/>
      </c>
      <c r="AS214" s="68" t="str">
        <f>IF(AND(Table2[[#This Row],[gap7]]="NA",Table2[[#This Row],[round7]]&lt;4/24),0,IFERROR((MAX(starting_interval,IF(Table2[[#This Row],[gap7]]="NA",Table2[[#This Row],[avg gap]],Table2[[#This Row],[gap7]]))-starting_interval)*Table2[[#This Row],[followers7]]/Table2[[#This Row],[group size7]],""))</f>
        <v/>
      </c>
      <c r="AT214" s="72">
        <f>COUNT(Table2[[#This Row],[Tee time1]],Table2[[#This Row],[tee time2]],Table2[[#This Row],[tee time3]],Table2[[#This Row],[tee time4]],Table2[[#This Row],[tee time5]],Table2[[#This Row],[tee time6]],Table2[[#This Row],[tee time7]])</f>
        <v>0</v>
      </c>
      <c r="AU214" s="4" t="str">
        <f>IFERROR(AVERAGE(Table2[[#This Row],[Tee time1]],Table2[[#This Row],[tee time2]],Table2[[#This Row],[tee time3]],Table2[[#This Row],[tee time4]],Table2[[#This Row],[tee time5]],Table2[[#This Row],[tee time6]],Table2[[#This Row],[tee time7]]),"")</f>
        <v/>
      </c>
      <c r="AV214" s="11" t="str">
        <f>IFERROR(MEDIAN(Table2[[#This Row],[round1]],Table2[[#This Row],[Round2]],Table2[[#This Row],[round3]],Table2[[#This Row],[round4]],Table2[[#This Row],[round5]],Table2[[#This Row],[round6]],Table2[[#This Row],[round7]]),"")</f>
        <v/>
      </c>
      <c r="AW214" s="11" t="str">
        <f>IFERROR(AVERAGE(Table2[[#This Row],[gap1]],Table2[[#This Row],[gap2]],Table2[[#This Row],[gap3]],Table2[[#This Row],[gap4]],Table2[[#This Row],[gap5]],Table2[[#This Row],[gap6]],Table2[[#This Row],[gap7]]),"")</f>
        <v/>
      </c>
      <c r="AX214" s="9" t="str">
        <f>IFERROR((Table2[[#This Row],[avg gap]]-starting_interval)*24*60*Table2[[#This Row],[Count]],"NA")</f>
        <v>NA</v>
      </c>
      <c r="AY214"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14" s="2"/>
    </row>
    <row r="215" spans="1:52" hidden="1" x14ac:dyDescent="0.3">
      <c r="A215" s="10" t="s">
        <v>181</v>
      </c>
      <c r="B215" s="1" t="s">
        <v>421</v>
      </c>
      <c r="C215" s="19">
        <v>8.3000000000000007</v>
      </c>
      <c r="D215" s="32" t="str">
        <f>_xlfn.IFNA(VLOOKUP(Table2[[#This Row],[Name]],'Classic day 1 - players'!$A$2:$B$64,2,FALSE),"")</f>
        <v/>
      </c>
      <c r="E215" s="33" t="str">
        <f>IF(Table2[[#This Row],[Tee time1]]&lt;&gt;"",COUNTIF('Classic day 1 - players'!$B$2:$B$64,"="&amp;Table2[[#This Row],[Tee time1]]),"")</f>
        <v/>
      </c>
      <c r="F215" s="4" t="str">
        <f>_xlfn.IFNA(VLOOKUP(Table2[[#This Row],[Tee time1]],'Classic day 1 - groups'!$A$3:$F$20,6,FALSE),"")</f>
        <v/>
      </c>
      <c r="G215" s="11" t="str">
        <f>_xlfn.IFNA(VLOOKUP(Table2[[#This Row],[Tee time1]],'Classic day 1 - groups'!$A$3:$F$20,4,FALSE),"")</f>
        <v/>
      </c>
      <c r="H215" s="12" t="str">
        <f>_xlfn.IFNA(VLOOKUP(Table2[[#This Row],[Tee time1]],'Classic day 1 - groups'!$A$3:$F$20,5,FALSE),"")</f>
        <v/>
      </c>
      <c r="I215" s="69" t="str">
        <f>IFERROR((MAX(starting_interval,IF(Table2[[#This Row],[gap1]]="NA",Table2[[#This Row],[avg gap]],Table2[[#This Row],[gap1]]))-starting_interval)*Table2[[#This Row],[followers1]]/Table2[[#This Row],[group size]],"")</f>
        <v/>
      </c>
      <c r="J215" s="32" t="str">
        <f>_xlfn.IFNA(VLOOKUP(Table2[[#This Row],[Name]],'Classic day 2 - players'!$A$2:$B$64,2,FALSE),"")</f>
        <v/>
      </c>
      <c r="K215" s="4" t="str">
        <f>IF(Table2[[#This Row],[tee time2]]&lt;&gt;"",COUNTIF('Classic day 2 - players'!$B$2:$B$64,"="&amp;Table2[[#This Row],[tee time2]]),"")</f>
        <v/>
      </c>
      <c r="L215" s="4" t="str">
        <f>_xlfn.IFNA(VLOOKUP(Table2[[#This Row],[tee time2]],'Classic day 2 - groups'!$A$3:$F$20,6,FALSE),"")</f>
        <v/>
      </c>
      <c r="M215" s="4" t="str">
        <f>_xlfn.IFNA(VLOOKUP(Table2[[#This Row],[tee time2]],'Classic day 2 - groups'!$A$3:$F$20,4,FALSE),"")</f>
        <v/>
      </c>
      <c r="N215" s="65" t="str">
        <f>_xlfn.IFNA(VLOOKUP(Table2[[#This Row],[tee time2]],'Classic day 2 - groups'!$A$3:$F$20,5,FALSE),"")</f>
        <v/>
      </c>
      <c r="O215" s="69" t="str">
        <f>IFERROR((MAX(starting_interval,IF(Table2[[#This Row],[gap2]]="NA",Table2[[#This Row],[avg gap]],Table2[[#This Row],[gap2]]))-starting_interval)*Table2[[#This Row],[followers2]]/Table2[[#This Row],[group size2]],"")</f>
        <v/>
      </c>
      <c r="P215" s="32" t="str">
        <f>_xlfn.IFNA(VLOOKUP(Table2[[#This Row],[Name]],'Summer FD - players'!$A$2:$B$65,2,FALSE),"")</f>
        <v/>
      </c>
      <c r="Q215" s="59" t="str">
        <f>IF(Table2[[#This Row],[tee time3]]&lt;&gt;"",COUNTIF('Summer FD - players'!$B$2:$B$65,"="&amp;Table2[[#This Row],[tee time3]]),"")</f>
        <v/>
      </c>
      <c r="R215" s="59" t="str">
        <f>_xlfn.IFNA(VLOOKUP(Table2[[#This Row],[tee time3]],'Summer FD - groups'!$A$3:$F$20,6,FALSE),"")</f>
        <v/>
      </c>
      <c r="S215" s="4" t="str">
        <f>_xlfn.IFNA(VLOOKUP(Table2[[#This Row],[tee time3]],'Summer FD - groups'!$A$3:$F$20,4,FALSE),"")</f>
        <v/>
      </c>
      <c r="T215" s="13" t="str">
        <f>_xlfn.IFNA(VLOOKUP(Table2[[#This Row],[tee time3]],'Summer FD - groups'!$A$3:$F$20,5,FALSE),"")</f>
        <v/>
      </c>
      <c r="U215" s="69" t="str">
        <f>IF(Table2[[#This Row],[avg gap]]&lt;&gt;"",IFERROR((MAX(starting_interval,IF(Table2[[#This Row],[gap3]]="NA",Table2[[#This Row],[avg gap]],Table2[[#This Row],[gap3]]))-starting_interval)*Table2[[#This Row],[followers3]]/Table2[[#This Row],[group size3]],""),"")</f>
        <v/>
      </c>
      <c r="V215" s="32" t="str">
        <f>_xlfn.IFNA(VLOOKUP(Table2[[#This Row],[Name]],'6-6-6 - players'!$A$2:$B$69,2,FALSE),"")</f>
        <v/>
      </c>
      <c r="W215" s="59" t="str">
        <f>IF(Table2[[#This Row],[tee time4]]&lt;&gt;"",COUNTIF('6-6-6 - players'!$B$2:$B$69,"="&amp;Table2[[#This Row],[tee time4]]),"")</f>
        <v/>
      </c>
      <c r="X215" s="59" t="str">
        <f>_xlfn.IFNA(VLOOKUP(Table2[[#This Row],[tee time4]],'6-6-6 - groups'!$A$3:$F$20,6,FALSE),"")</f>
        <v/>
      </c>
      <c r="Y215" s="4" t="str">
        <f>_xlfn.IFNA(VLOOKUP(Table2[[#This Row],[tee time4]],'6-6-6 - groups'!$A$3:$F$20,4,FALSE),"")</f>
        <v/>
      </c>
      <c r="Z215" s="13" t="str">
        <f>_xlfn.IFNA(VLOOKUP(Table2[[#This Row],[tee time4]],'6-6-6 - groups'!$A$3:$F$20,5,FALSE),"")</f>
        <v/>
      </c>
      <c r="AA215" s="69" t="str">
        <f>IF(Table2[[#This Row],[avg gap]]&lt;&gt;"",IFERROR((MAX(starting_interval,IF(Table2[[#This Row],[gap4]]="NA",Table2[[#This Row],[avg gap]],Table2[[#This Row],[gap4]]))-starting_interval)*Table2[[#This Row],[followers4]]/Table2[[#This Row],[group size4]],""),"")</f>
        <v/>
      </c>
      <c r="AB215" s="32" t="str">
        <f>_xlfn.IFNA(VLOOKUP(Table2[[#This Row],[Name]],'Fall FD - players'!$A$2:$B$65,2,FALSE),"")</f>
        <v/>
      </c>
      <c r="AC215" s="59" t="str">
        <f>IF(Table2[[#This Row],[tee time5]]&lt;&gt;"",COUNTIF('Fall FD - players'!$B$2:$B$65,"="&amp;Table2[[#This Row],[tee time5]]),"")</f>
        <v/>
      </c>
      <c r="AD215" s="59" t="str">
        <f>_xlfn.IFNA(VLOOKUP(Table2[[#This Row],[tee time5]],'Fall FD - groups'!$A$3:$F$20,6,FALSE),"")</f>
        <v/>
      </c>
      <c r="AE215" s="4" t="str">
        <f>_xlfn.IFNA(VLOOKUP(Table2[[#This Row],[tee time5]],'Fall FD - groups'!$A$3:$F$20,4,FALSE),"")</f>
        <v/>
      </c>
      <c r="AF215" s="13" t="str">
        <f>IFERROR(MIN(_xlfn.IFNA(VLOOKUP(Table2[[#This Row],[tee time5]],'Fall FD - groups'!$A$3:$F$20,5,FALSE),""),starting_interval + Table2[[#This Row],[round5]] - standard_round_time),"")</f>
        <v/>
      </c>
      <c r="AG215" s="69" t="str">
        <f>IF(AND(Table2[[#This Row],[gap5]]="NA",Table2[[#This Row],[round5]]&lt;4/24),0,IFERROR((MAX(starting_interval,IF(Table2[[#This Row],[gap5]]="NA",Table2[[#This Row],[avg gap]],Table2[[#This Row],[gap5]]))-starting_interval)*Table2[[#This Row],[followers5]]/Table2[[#This Row],[group size5]],""))</f>
        <v/>
      </c>
      <c r="AH215" s="32" t="str">
        <f>_xlfn.IFNA(VLOOKUP(Table2[[#This Row],[Name]],'Stableford - players'!$A$2:$B$65,2,FALSE),"")</f>
        <v/>
      </c>
      <c r="AI215" s="59" t="str">
        <f>IF(Table2[[#This Row],[tee time6]]&lt;&gt;"",COUNTIF('Stableford - players'!$B$2:$B$65,"="&amp;Table2[[#This Row],[tee time6]]),"")</f>
        <v/>
      </c>
      <c r="AJ215" s="59" t="str">
        <f>_xlfn.IFNA(VLOOKUP(Table2[[#This Row],[tee time6]],'Stableford - groups'!$A$3:$F$20,6,FALSE),"")</f>
        <v/>
      </c>
      <c r="AK215" s="11" t="str">
        <f>_xlfn.IFNA(VLOOKUP(Table2[[#This Row],[tee time6]],'Stableford - groups'!$A$3:$F$20,4,FALSE),"")</f>
        <v/>
      </c>
      <c r="AL215" s="13" t="str">
        <f>_xlfn.IFNA(VLOOKUP(Table2[[#This Row],[tee time6]],'Stableford - groups'!$A$3:$F$20,5,FALSE),"")</f>
        <v/>
      </c>
      <c r="AM215" s="68" t="str">
        <f>IF(AND(Table2[[#This Row],[gap6]]="NA",Table2[[#This Row],[round6]]&lt;4/24),0,IFERROR((MAX(starting_interval,IF(Table2[[#This Row],[gap6]]="NA",Table2[[#This Row],[avg gap]],Table2[[#This Row],[gap6]]))-starting_interval)*Table2[[#This Row],[followers6]]/Table2[[#This Row],[group size6]],""))</f>
        <v/>
      </c>
      <c r="AN215" s="32" t="str">
        <f>_xlfn.IFNA(VLOOKUP(Table2[[#This Row],[Name]],'Turkey Shoot - players'!$A$2:$B$65,2,FALSE),"")</f>
        <v/>
      </c>
      <c r="AO215" s="59" t="str">
        <f>IF(Table2[[#This Row],[tee time7]]&lt;&gt;"",COUNTIF('Turkey Shoot - players'!$B$2:$B$65,"="&amp;Table2[[#This Row],[tee time7]]),"")</f>
        <v/>
      </c>
      <c r="AP215" s="59" t="str">
        <f>_xlfn.IFNA(VLOOKUP(Table2[[#This Row],[tee time7]],'Stableford - groups'!$A$3:$F$20,6,FALSE),"")</f>
        <v/>
      </c>
      <c r="AQ215" s="11" t="str">
        <f>_xlfn.IFNA(VLOOKUP(Table2[[#This Row],[tee time7]],'Turkey Shoot - groups'!$A$3:$F$20,4,FALSE),"")</f>
        <v/>
      </c>
      <c r="AR215" s="13" t="str">
        <f>_xlfn.IFNA(VLOOKUP(Table2[[#This Row],[tee time7]],'Turkey Shoot - groups'!$A$3:$F$20,5,FALSE),"")</f>
        <v/>
      </c>
      <c r="AS215" s="68" t="str">
        <f>IF(AND(Table2[[#This Row],[gap7]]="NA",Table2[[#This Row],[round7]]&lt;4/24),0,IFERROR((MAX(starting_interval,IF(Table2[[#This Row],[gap7]]="NA",Table2[[#This Row],[avg gap]],Table2[[#This Row],[gap7]]))-starting_interval)*Table2[[#This Row],[followers7]]/Table2[[#This Row],[group size7]],""))</f>
        <v/>
      </c>
      <c r="AT215" s="72">
        <f>COUNT(Table2[[#This Row],[Tee time1]],Table2[[#This Row],[tee time2]],Table2[[#This Row],[tee time3]],Table2[[#This Row],[tee time4]],Table2[[#This Row],[tee time5]],Table2[[#This Row],[tee time6]],Table2[[#This Row],[tee time7]])</f>
        <v>0</v>
      </c>
      <c r="AU215" s="4" t="str">
        <f>IFERROR(AVERAGE(Table2[[#This Row],[Tee time1]],Table2[[#This Row],[tee time2]],Table2[[#This Row],[tee time3]],Table2[[#This Row],[tee time4]],Table2[[#This Row],[tee time5]],Table2[[#This Row],[tee time6]],Table2[[#This Row],[tee time7]]),"")</f>
        <v/>
      </c>
      <c r="AV215" s="11" t="str">
        <f>IFERROR(MEDIAN(Table2[[#This Row],[round1]],Table2[[#This Row],[Round2]],Table2[[#This Row],[round3]],Table2[[#This Row],[round4]],Table2[[#This Row],[round5]],Table2[[#This Row],[round6]],Table2[[#This Row],[round7]]),"")</f>
        <v/>
      </c>
      <c r="AW215" s="11" t="str">
        <f>IFERROR(AVERAGE(Table2[[#This Row],[gap1]],Table2[[#This Row],[gap2]],Table2[[#This Row],[gap3]],Table2[[#This Row],[gap4]],Table2[[#This Row],[gap5]],Table2[[#This Row],[gap6]],Table2[[#This Row],[gap7]]),"")</f>
        <v/>
      </c>
      <c r="AX215" s="9" t="str">
        <f>IFERROR((Table2[[#This Row],[avg gap]]-starting_interval)*24*60*Table2[[#This Row],[Count]],"NA")</f>
        <v>NA</v>
      </c>
      <c r="AY215"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15" s="2"/>
    </row>
    <row r="216" spans="1:52" hidden="1" x14ac:dyDescent="0.3">
      <c r="A216" s="10" t="s">
        <v>182</v>
      </c>
      <c r="B216" s="1" t="s">
        <v>307</v>
      </c>
      <c r="C216" s="19" t="s">
        <v>307</v>
      </c>
      <c r="D216" s="32" t="str">
        <f>_xlfn.IFNA(VLOOKUP(Table2[[#This Row],[Name]],'Classic day 1 - players'!$A$2:$B$64,2,FALSE),"")</f>
        <v/>
      </c>
      <c r="E216" s="33" t="str">
        <f>IF(Table2[[#This Row],[Tee time1]]&lt;&gt;"",COUNTIF('Classic day 1 - players'!$B$2:$B$64,"="&amp;Table2[[#This Row],[Tee time1]]),"")</f>
        <v/>
      </c>
      <c r="F216" s="4" t="str">
        <f>_xlfn.IFNA(VLOOKUP(Table2[[#This Row],[Tee time1]],'Classic day 1 - groups'!$A$3:$F$20,6,FALSE),"")</f>
        <v/>
      </c>
      <c r="G216" s="11" t="str">
        <f>_xlfn.IFNA(VLOOKUP(Table2[[#This Row],[Tee time1]],'Classic day 1 - groups'!$A$3:$F$20,4,FALSE),"")</f>
        <v/>
      </c>
      <c r="H216" s="12" t="str">
        <f>_xlfn.IFNA(VLOOKUP(Table2[[#This Row],[Tee time1]],'Classic day 1 - groups'!$A$3:$F$20,5,FALSE),"")</f>
        <v/>
      </c>
      <c r="I216" s="69" t="str">
        <f>IFERROR((MAX(starting_interval,IF(Table2[[#This Row],[gap1]]="NA",Table2[[#This Row],[avg gap]],Table2[[#This Row],[gap1]]))-starting_interval)*Table2[[#This Row],[followers1]]/Table2[[#This Row],[group size]],"")</f>
        <v/>
      </c>
      <c r="J216" s="32" t="str">
        <f>_xlfn.IFNA(VLOOKUP(Table2[[#This Row],[Name]],'Classic day 2 - players'!$A$2:$B$64,2,FALSE),"")</f>
        <v/>
      </c>
      <c r="K216" s="4" t="str">
        <f>IF(Table2[[#This Row],[tee time2]]&lt;&gt;"",COUNTIF('Classic day 2 - players'!$B$2:$B$64,"="&amp;Table2[[#This Row],[tee time2]]),"")</f>
        <v/>
      </c>
      <c r="L216" s="4" t="str">
        <f>_xlfn.IFNA(VLOOKUP(Table2[[#This Row],[tee time2]],'Classic day 2 - groups'!$A$3:$F$20,6,FALSE),"")</f>
        <v/>
      </c>
      <c r="M216" s="4" t="str">
        <f>_xlfn.IFNA(VLOOKUP(Table2[[#This Row],[tee time2]],'Classic day 2 - groups'!$A$3:$F$20,4,FALSE),"")</f>
        <v/>
      </c>
      <c r="N216" s="65" t="str">
        <f>_xlfn.IFNA(VLOOKUP(Table2[[#This Row],[tee time2]],'Classic day 2 - groups'!$A$3:$F$20,5,FALSE),"")</f>
        <v/>
      </c>
      <c r="O216" s="69" t="str">
        <f>IFERROR((MAX(starting_interval,IF(Table2[[#This Row],[gap2]]="NA",Table2[[#This Row],[avg gap]],Table2[[#This Row],[gap2]]))-starting_interval)*Table2[[#This Row],[followers2]]/Table2[[#This Row],[group size2]],"")</f>
        <v/>
      </c>
      <c r="P216" s="32" t="str">
        <f>_xlfn.IFNA(VLOOKUP(Table2[[#This Row],[Name]],'Summer FD - players'!$A$2:$B$65,2,FALSE),"")</f>
        <v/>
      </c>
      <c r="Q216" s="59" t="str">
        <f>IF(Table2[[#This Row],[tee time3]]&lt;&gt;"",COUNTIF('Summer FD - players'!$B$2:$B$65,"="&amp;Table2[[#This Row],[tee time3]]),"")</f>
        <v/>
      </c>
      <c r="R216" s="59" t="str">
        <f>_xlfn.IFNA(VLOOKUP(Table2[[#This Row],[tee time3]],'Summer FD - groups'!$A$3:$F$20,6,FALSE),"")</f>
        <v/>
      </c>
      <c r="S216" s="4" t="str">
        <f>_xlfn.IFNA(VLOOKUP(Table2[[#This Row],[tee time3]],'Summer FD - groups'!$A$3:$F$20,4,FALSE),"")</f>
        <v/>
      </c>
      <c r="T216" s="13" t="str">
        <f>_xlfn.IFNA(VLOOKUP(Table2[[#This Row],[tee time3]],'Summer FD - groups'!$A$3:$F$20,5,FALSE),"")</f>
        <v/>
      </c>
      <c r="U216" s="69" t="str">
        <f>IF(Table2[[#This Row],[avg gap]]&lt;&gt;"",IFERROR((MAX(starting_interval,IF(Table2[[#This Row],[gap3]]="NA",Table2[[#This Row],[avg gap]],Table2[[#This Row],[gap3]]))-starting_interval)*Table2[[#This Row],[followers3]]/Table2[[#This Row],[group size3]],""),"")</f>
        <v/>
      </c>
      <c r="V216" s="32" t="str">
        <f>_xlfn.IFNA(VLOOKUP(Table2[[#This Row],[Name]],'6-6-6 - players'!$A$2:$B$69,2,FALSE),"")</f>
        <v/>
      </c>
      <c r="W216" s="59" t="str">
        <f>IF(Table2[[#This Row],[tee time4]]&lt;&gt;"",COUNTIF('6-6-6 - players'!$B$2:$B$69,"="&amp;Table2[[#This Row],[tee time4]]),"")</f>
        <v/>
      </c>
      <c r="X216" s="59" t="str">
        <f>_xlfn.IFNA(VLOOKUP(Table2[[#This Row],[tee time4]],'6-6-6 - groups'!$A$3:$F$20,6,FALSE),"")</f>
        <v/>
      </c>
      <c r="Y216" s="4" t="str">
        <f>_xlfn.IFNA(VLOOKUP(Table2[[#This Row],[tee time4]],'6-6-6 - groups'!$A$3:$F$20,4,FALSE),"")</f>
        <v/>
      </c>
      <c r="Z216" s="13" t="str">
        <f>_xlfn.IFNA(VLOOKUP(Table2[[#This Row],[tee time4]],'6-6-6 - groups'!$A$3:$F$20,5,FALSE),"")</f>
        <v/>
      </c>
      <c r="AA216" s="69" t="str">
        <f>IF(Table2[[#This Row],[avg gap]]&lt;&gt;"",IFERROR((MAX(starting_interval,IF(Table2[[#This Row],[gap4]]="NA",Table2[[#This Row],[avg gap]],Table2[[#This Row],[gap4]]))-starting_interval)*Table2[[#This Row],[followers4]]/Table2[[#This Row],[group size4]],""),"")</f>
        <v/>
      </c>
      <c r="AB216" s="32" t="str">
        <f>_xlfn.IFNA(VLOOKUP(Table2[[#This Row],[Name]],'Fall FD - players'!$A$2:$B$65,2,FALSE),"")</f>
        <v/>
      </c>
      <c r="AC216" s="59" t="str">
        <f>IF(Table2[[#This Row],[tee time5]]&lt;&gt;"",COUNTIF('Fall FD - players'!$B$2:$B$65,"="&amp;Table2[[#This Row],[tee time5]]),"")</f>
        <v/>
      </c>
      <c r="AD216" s="59" t="str">
        <f>_xlfn.IFNA(VLOOKUP(Table2[[#This Row],[tee time5]],'Fall FD - groups'!$A$3:$F$20,6,FALSE),"")</f>
        <v/>
      </c>
      <c r="AE216" s="4" t="str">
        <f>_xlfn.IFNA(VLOOKUP(Table2[[#This Row],[tee time5]],'Fall FD - groups'!$A$3:$F$20,4,FALSE),"")</f>
        <v/>
      </c>
      <c r="AF216" s="13" t="str">
        <f>IFERROR(MIN(_xlfn.IFNA(VLOOKUP(Table2[[#This Row],[tee time5]],'Fall FD - groups'!$A$3:$F$20,5,FALSE),""),starting_interval + Table2[[#This Row],[round5]] - standard_round_time),"")</f>
        <v/>
      </c>
      <c r="AG216" s="69" t="str">
        <f>IF(AND(Table2[[#This Row],[gap5]]="NA",Table2[[#This Row],[round5]]&lt;4/24),0,IFERROR((MAX(starting_interval,IF(Table2[[#This Row],[gap5]]="NA",Table2[[#This Row],[avg gap]],Table2[[#This Row],[gap5]]))-starting_interval)*Table2[[#This Row],[followers5]]/Table2[[#This Row],[group size5]],""))</f>
        <v/>
      </c>
      <c r="AH216" s="32" t="str">
        <f>_xlfn.IFNA(VLOOKUP(Table2[[#This Row],[Name]],'Stableford - players'!$A$2:$B$65,2,FALSE),"")</f>
        <v/>
      </c>
      <c r="AI216" s="59" t="str">
        <f>IF(Table2[[#This Row],[tee time6]]&lt;&gt;"",COUNTIF('Stableford - players'!$B$2:$B$65,"="&amp;Table2[[#This Row],[tee time6]]),"")</f>
        <v/>
      </c>
      <c r="AJ216" s="59" t="str">
        <f>_xlfn.IFNA(VLOOKUP(Table2[[#This Row],[tee time6]],'Stableford - groups'!$A$3:$F$20,6,FALSE),"")</f>
        <v/>
      </c>
      <c r="AK216" s="11" t="str">
        <f>_xlfn.IFNA(VLOOKUP(Table2[[#This Row],[tee time6]],'Stableford - groups'!$A$3:$F$20,4,FALSE),"")</f>
        <v/>
      </c>
      <c r="AL216" s="13" t="str">
        <f>_xlfn.IFNA(VLOOKUP(Table2[[#This Row],[tee time6]],'Stableford - groups'!$A$3:$F$20,5,FALSE),"")</f>
        <v/>
      </c>
      <c r="AM216" s="68" t="str">
        <f>IF(AND(Table2[[#This Row],[gap6]]="NA",Table2[[#This Row],[round6]]&lt;4/24),0,IFERROR((MAX(starting_interval,IF(Table2[[#This Row],[gap6]]="NA",Table2[[#This Row],[avg gap]],Table2[[#This Row],[gap6]]))-starting_interval)*Table2[[#This Row],[followers6]]/Table2[[#This Row],[group size6]],""))</f>
        <v/>
      </c>
      <c r="AN216" s="32" t="str">
        <f>_xlfn.IFNA(VLOOKUP(Table2[[#This Row],[Name]],'Turkey Shoot - players'!$A$2:$B$65,2,FALSE),"")</f>
        <v/>
      </c>
      <c r="AO216" s="59" t="str">
        <f>IF(Table2[[#This Row],[tee time7]]&lt;&gt;"",COUNTIF('Turkey Shoot - players'!$B$2:$B$65,"="&amp;Table2[[#This Row],[tee time7]]),"")</f>
        <v/>
      </c>
      <c r="AP216" s="59" t="str">
        <f>_xlfn.IFNA(VLOOKUP(Table2[[#This Row],[tee time7]],'Stableford - groups'!$A$3:$F$20,6,FALSE),"")</f>
        <v/>
      </c>
      <c r="AQ216" s="11" t="str">
        <f>_xlfn.IFNA(VLOOKUP(Table2[[#This Row],[tee time7]],'Turkey Shoot - groups'!$A$3:$F$20,4,FALSE),"")</f>
        <v/>
      </c>
      <c r="AR216" s="13" t="str">
        <f>_xlfn.IFNA(VLOOKUP(Table2[[#This Row],[tee time7]],'Turkey Shoot - groups'!$A$3:$F$20,5,FALSE),"")</f>
        <v/>
      </c>
      <c r="AS216" s="68" t="str">
        <f>IF(AND(Table2[[#This Row],[gap7]]="NA",Table2[[#This Row],[round7]]&lt;4/24),0,IFERROR((MAX(starting_interval,IF(Table2[[#This Row],[gap7]]="NA",Table2[[#This Row],[avg gap]],Table2[[#This Row],[gap7]]))-starting_interval)*Table2[[#This Row],[followers7]]/Table2[[#This Row],[group size7]],""))</f>
        <v/>
      </c>
      <c r="AT216" s="72">
        <f>COUNT(Table2[[#This Row],[Tee time1]],Table2[[#This Row],[tee time2]],Table2[[#This Row],[tee time3]],Table2[[#This Row],[tee time4]],Table2[[#This Row],[tee time5]],Table2[[#This Row],[tee time6]],Table2[[#This Row],[tee time7]])</f>
        <v>0</v>
      </c>
      <c r="AU216" s="4" t="str">
        <f>IFERROR(AVERAGE(Table2[[#This Row],[Tee time1]],Table2[[#This Row],[tee time2]],Table2[[#This Row],[tee time3]],Table2[[#This Row],[tee time4]],Table2[[#This Row],[tee time5]],Table2[[#This Row],[tee time6]],Table2[[#This Row],[tee time7]]),"")</f>
        <v/>
      </c>
      <c r="AV216" s="11" t="str">
        <f>IFERROR(MEDIAN(Table2[[#This Row],[round1]],Table2[[#This Row],[Round2]],Table2[[#This Row],[round3]],Table2[[#This Row],[round4]],Table2[[#This Row],[round5]],Table2[[#This Row],[round6]],Table2[[#This Row],[round7]]),"")</f>
        <v/>
      </c>
      <c r="AW216" s="11" t="str">
        <f>IFERROR(AVERAGE(Table2[[#This Row],[gap1]],Table2[[#This Row],[gap2]],Table2[[#This Row],[gap3]],Table2[[#This Row],[gap4]],Table2[[#This Row],[gap5]],Table2[[#This Row],[gap6]],Table2[[#This Row],[gap7]]),"")</f>
        <v/>
      </c>
      <c r="AX216" s="9" t="str">
        <f>IFERROR((Table2[[#This Row],[avg gap]]-starting_interval)*24*60*Table2[[#This Row],[Count]],"NA")</f>
        <v>NA</v>
      </c>
      <c r="AY216"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16" s="2"/>
    </row>
    <row r="217" spans="1:52" hidden="1" x14ac:dyDescent="0.3">
      <c r="A217" s="10" t="s">
        <v>184</v>
      </c>
      <c r="B217" s="1" t="s">
        <v>423</v>
      </c>
      <c r="C217" s="19">
        <v>8.3000000000000007</v>
      </c>
      <c r="D217" s="32" t="str">
        <f>_xlfn.IFNA(VLOOKUP(Table2[[#This Row],[Name]],'Classic day 1 - players'!$A$2:$B$64,2,FALSE),"")</f>
        <v/>
      </c>
      <c r="E217" s="33" t="str">
        <f>IF(Table2[[#This Row],[Tee time1]]&lt;&gt;"",COUNTIF('Classic day 1 - players'!$B$2:$B$64,"="&amp;Table2[[#This Row],[Tee time1]]),"")</f>
        <v/>
      </c>
      <c r="F217" s="4" t="str">
        <f>_xlfn.IFNA(VLOOKUP(Table2[[#This Row],[Tee time1]],'Classic day 1 - groups'!$A$3:$F$20,6,FALSE),"")</f>
        <v/>
      </c>
      <c r="G217" s="11" t="str">
        <f>_xlfn.IFNA(VLOOKUP(Table2[[#This Row],[Tee time1]],'Classic day 1 - groups'!$A$3:$F$20,4,FALSE),"")</f>
        <v/>
      </c>
      <c r="H217" s="12" t="str">
        <f>_xlfn.IFNA(VLOOKUP(Table2[[#This Row],[Tee time1]],'Classic day 1 - groups'!$A$3:$F$20,5,FALSE),"")</f>
        <v/>
      </c>
      <c r="I217" s="69" t="str">
        <f>IFERROR((MAX(starting_interval,IF(Table2[[#This Row],[gap1]]="NA",Table2[[#This Row],[avg gap]],Table2[[#This Row],[gap1]]))-starting_interval)*Table2[[#This Row],[followers1]]/Table2[[#This Row],[group size]],"")</f>
        <v/>
      </c>
      <c r="J217" s="32" t="str">
        <f>_xlfn.IFNA(VLOOKUP(Table2[[#This Row],[Name]],'Classic day 2 - players'!$A$2:$B$64,2,FALSE),"")</f>
        <v/>
      </c>
      <c r="K217" s="4" t="str">
        <f>IF(Table2[[#This Row],[tee time2]]&lt;&gt;"",COUNTIF('Classic day 2 - players'!$B$2:$B$64,"="&amp;Table2[[#This Row],[tee time2]]),"")</f>
        <v/>
      </c>
      <c r="L217" s="4" t="str">
        <f>_xlfn.IFNA(VLOOKUP(Table2[[#This Row],[tee time2]],'Classic day 2 - groups'!$A$3:$F$20,6,FALSE),"")</f>
        <v/>
      </c>
      <c r="M217" s="4" t="str">
        <f>_xlfn.IFNA(VLOOKUP(Table2[[#This Row],[tee time2]],'Classic day 2 - groups'!$A$3:$F$20,4,FALSE),"")</f>
        <v/>
      </c>
      <c r="N217" s="65" t="str">
        <f>_xlfn.IFNA(VLOOKUP(Table2[[#This Row],[tee time2]],'Classic day 2 - groups'!$A$3:$F$20,5,FALSE),"")</f>
        <v/>
      </c>
      <c r="O217" s="69" t="str">
        <f>IFERROR((MAX(starting_interval,IF(Table2[[#This Row],[gap2]]="NA",Table2[[#This Row],[avg gap]],Table2[[#This Row],[gap2]]))-starting_interval)*Table2[[#This Row],[followers2]]/Table2[[#This Row],[group size2]],"")</f>
        <v/>
      </c>
      <c r="P217" s="32" t="str">
        <f>_xlfn.IFNA(VLOOKUP(Table2[[#This Row],[Name]],'Summer FD - players'!$A$2:$B$65,2,FALSE),"")</f>
        <v/>
      </c>
      <c r="Q217" s="59" t="str">
        <f>IF(Table2[[#This Row],[tee time3]]&lt;&gt;"",COUNTIF('Summer FD - players'!$B$2:$B$65,"="&amp;Table2[[#This Row],[tee time3]]),"")</f>
        <v/>
      </c>
      <c r="R217" s="59" t="str">
        <f>_xlfn.IFNA(VLOOKUP(Table2[[#This Row],[tee time3]],'Summer FD - groups'!$A$3:$F$20,6,FALSE),"")</f>
        <v/>
      </c>
      <c r="S217" s="4" t="str">
        <f>_xlfn.IFNA(VLOOKUP(Table2[[#This Row],[tee time3]],'Summer FD - groups'!$A$3:$F$20,4,FALSE),"")</f>
        <v/>
      </c>
      <c r="T217" s="13" t="str">
        <f>_xlfn.IFNA(VLOOKUP(Table2[[#This Row],[tee time3]],'Summer FD - groups'!$A$3:$F$20,5,FALSE),"")</f>
        <v/>
      </c>
      <c r="U217" s="69" t="str">
        <f>IF(Table2[[#This Row],[avg gap]]&lt;&gt;"",IFERROR((MAX(starting_interval,IF(Table2[[#This Row],[gap3]]="NA",Table2[[#This Row],[avg gap]],Table2[[#This Row],[gap3]]))-starting_interval)*Table2[[#This Row],[followers3]]/Table2[[#This Row],[group size3]],""),"")</f>
        <v/>
      </c>
      <c r="V217" s="32" t="str">
        <f>_xlfn.IFNA(VLOOKUP(Table2[[#This Row],[Name]],'6-6-6 - players'!$A$2:$B$69,2,FALSE),"")</f>
        <v/>
      </c>
      <c r="W217" s="59" t="str">
        <f>IF(Table2[[#This Row],[tee time4]]&lt;&gt;"",COUNTIF('6-6-6 - players'!$B$2:$B$69,"="&amp;Table2[[#This Row],[tee time4]]),"")</f>
        <v/>
      </c>
      <c r="X217" s="59" t="str">
        <f>_xlfn.IFNA(VLOOKUP(Table2[[#This Row],[tee time4]],'6-6-6 - groups'!$A$3:$F$20,6,FALSE),"")</f>
        <v/>
      </c>
      <c r="Y217" s="4" t="str">
        <f>_xlfn.IFNA(VLOOKUP(Table2[[#This Row],[tee time4]],'6-6-6 - groups'!$A$3:$F$20,4,FALSE),"")</f>
        <v/>
      </c>
      <c r="Z217" s="13" t="str">
        <f>_xlfn.IFNA(VLOOKUP(Table2[[#This Row],[tee time4]],'6-6-6 - groups'!$A$3:$F$20,5,FALSE),"")</f>
        <v/>
      </c>
      <c r="AA217" s="69" t="str">
        <f>IF(Table2[[#This Row],[avg gap]]&lt;&gt;"",IFERROR((MAX(starting_interval,IF(Table2[[#This Row],[gap4]]="NA",Table2[[#This Row],[avg gap]],Table2[[#This Row],[gap4]]))-starting_interval)*Table2[[#This Row],[followers4]]/Table2[[#This Row],[group size4]],""),"")</f>
        <v/>
      </c>
      <c r="AB217" s="32" t="str">
        <f>_xlfn.IFNA(VLOOKUP(Table2[[#This Row],[Name]],'Fall FD - players'!$A$2:$B$65,2,FALSE),"")</f>
        <v/>
      </c>
      <c r="AC217" s="59" t="str">
        <f>IF(Table2[[#This Row],[tee time5]]&lt;&gt;"",COUNTIF('Fall FD - players'!$B$2:$B$65,"="&amp;Table2[[#This Row],[tee time5]]),"")</f>
        <v/>
      </c>
      <c r="AD217" s="59" t="str">
        <f>_xlfn.IFNA(VLOOKUP(Table2[[#This Row],[tee time5]],'Fall FD - groups'!$A$3:$F$20,6,FALSE),"")</f>
        <v/>
      </c>
      <c r="AE217" s="4" t="str">
        <f>_xlfn.IFNA(VLOOKUP(Table2[[#This Row],[tee time5]],'Fall FD - groups'!$A$3:$F$20,4,FALSE),"")</f>
        <v/>
      </c>
      <c r="AF217" s="13" t="str">
        <f>IFERROR(MIN(_xlfn.IFNA(VLOOKUP(Table2[[#This Row],[tee time5]],'Fall FD - groups'!$A$3:$F$20,5,FALSE),""),starting_interval + Table2[[#This Row],[round5]] - standard_round_time),"")</f>
        <v/>
      </c>
      <c r="AG217" s="69" t="str">
        <f>IF(AND(Table2[[#This Row],[gap5]]="NA",Table2[[#This Row],[round5]]&lt;4/24),0,IFERROR((MAX(starting_interval,IF(Table2[[#This Row],[gap5]]="NA",Table2[[#This Row],[avg gap]],Table2[[#This Row],[gap5]]))-starting_interval)*Table2[[#This Row],[followers5]]/Table2[[#This Row],[group size5]],""))</f>
        <v/>
      </c>
      <c r="AH217" s="32" t="str">
        <f>_xlfn.IFNA(VLOOKUP(Table2[[#This Row],[Name]],'Stableford - players'!$A$2:$B$65,2,FALSE),"")</f>
        <v/>
      </c>
      <c r="AI217" s="59" t="str">
        <f>IF(Table2[[#This Row],[tee time6]]&lt;&gt;"",COUNTIF('Stableford - players'!$B$2:$B$65,"="&amp;Table2[[#This Row],[tee time6]]),"")</f>
        <v/>
      </c>
      <c r="AJ217" s="59" t="str">
        <f>_xlfn.IFNA(VLOOKUP(Table2[[#This Row],[tee time6]],'Stableford - groups'!$A$3:$F$20,6,FALSE),"")</f>
        <v/>
      </c>
      <c r="AK217" s="11" t="str">
        <f>_xlfn.IFNA(VLOOKUP(Table2[[#This Row],[tee time6]],'Stableford - groups'!$A$3:$F$20,4,FALSE),"")</f>
        <v/>
      </c>
      <c r="AL217" s="13" t="str">
        <f>_xlfn.IFNA(VLOOKUP(Table2[[#This Row],[tee time6]],'Stableford - groups'!$A$3:$F$20,5,FALSE),"")</f>
        <v/>
      </c>
      <c r="AM217" s="68" t="str">
        <f>IF(AND(Table2[[#This Row],[gap6]]="NA",Table2[[#This Row],[round6]]&lt;4/24),0,IFERROR((MAX(starting_interval,IF(Table2[[#This Row],[gap6]]="NA",Table2[[#This Row],[avg gap]],Table2[[#This Row],[gap6]]))-starting_interval)*Table2[[#This Row],[followers6]]/Table2[[#This Row],[group size6]],""))</f>
        <v/>
      </c>
      <c r="AN217" s="32" t="str">
        <f>_xlfn.IFNA(VLOOKUP(Table2[[#This Row],[Name]],'Turkey Shoot - players'!$A$2:$B$65,2,FALSE),"")</f>
        <v/>
      </c>
      <c r="AO217" s="59" t="str">
        <f>IF(Table2[[#This Row],[tee time7]]&lt;&gt;"",COUNTIF('Turkey Shoot - players'!$B$2:$B$65,"="&amp;Table2[[#This Row],[tee time7]]),"")</f>
        <v/>
      </c>
      <c r="AP217" s="59" t="str">
        <f>_xlfn.IFNA(VLOOKUP(Table2[[#This Row],[tee time7]],'Stableford - groups'!$A$3:$F$20,6,FALSE),"")</f>
        <v/>
      </c>
      <c r="AQ217" s="11" t="str">
        <f>_xlfn.IFNA(VLOOKUP(Table2[[#This Row],[tee time7]],'Turkey Shoot - groups'!$A$3:$F$20,4,FALSE),"")</f>
        <v/>
      </c>
      <c r="AR217" s="13" t="str">
        <f>_xlfn.IFNA(VLOOKUP(Table2[[#This Row],[tee time7]],'Turkey Shoot - groups'!$A$3:$F$20,5,FALSE),"")</f>
        <v/>
      </c>
      <c r="AS217" s="68" t="str">
        <f>IF(AND(Table2[[#This Row],[gap7]]="NA",Table2[[#This Row],[round7]]&lt;4/24),0,IFERROR((MAX(starting_interval,IF(Table2[[#This Row],[gap7]]="NA",Table2[[#This Row],[avg gap]],Table2[[#This Row],[gap7]]))-starting_interval)*Table2[[#This Row],[followers7]]/Table2[[#This Row],[group size7]],""))</f>
        <v/>
      </c>
      <c r="AT217" s="72">
        <f>COUNT(Table2[[#This Row],[Tee time1]],Table2[[#This Row],[tee time2]],Table2[[#This Row],[tee time3]],Table2[[#This Row],[tee time4]],Table2[[#This Row],[tee time5]],Table2[[#This Row],[tee time6]],Table2[[#This Row],[tee time7]])</f>
        <v>0</v>
      </c>
      <c r="AU217" s="4" t="str">
        <f>IFERROR(AVERAGE(Table2[[#This Row],[Tee time1]],Table2[[#This Row],[tee time2]],Table2[[#This Row],[tee time3]],Table2[[#This Row],[tee time4]],Table2[[#This Row],[tee time5]],Table2[[#This Row],[tee time6]],Table2[[#This Row],[tee time7]]),"")</f>
        <v/>
      </c>
      <c r="AV217" s="11" t="str">
        <f>IFERROR(MEDIAN(Table2[[#This Row],[round1]],Table2[[#This Row],[Round2]],Table2[[#This Row],[round3]],Table2[[#This Row],[round4]],Table2[[#This Row],[round5]],Table2[[#This Row],[round6]],Table2[[#This Row],[round7]]),"")</f>
        <v/>
      </c>
      <c r="AW217" s="11" t="str">
        <f>IFERROR(AVERAGE(Table2[[#This Row],[gap1]],Table2[[#This Row],[gap2]],Table2[[#This Row],[gap3]],Table2[[#This Row],[gap4]],Table2[[#This Row],[gap5]],Table2[[#This Row],[gap6]],Table2[[#This Row],[gap7]]),"")</f>
        <v/>
      </c>
      <c r="AX217" s="9" t="str">
        <f>IFERROR((Table2[[#This Row],[avg gap]]-starting_interval)*24*60*Table2[[#This Row],[Count]],"NA")</f>
        <v>NA</v>
      </c>
      <c r="AY217"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17" s="2"/>
    </row>
    <row r="218" spans="1:52" hidden="1" x14ac:dyDescent="0.3">
      <c r="A218" s="10" t="s">
        <v>175</v>
      </c>
      <c r="B218" s="1" t="s">
        <v>428</v>
      </c>
      <c r="C218" s="19">
        <v>49.2</v>
      </c>
      <c r="D218" s="32" t="str">
        <f>_xlfn.IFNA(VLOOKUP(Table2[[#This Row],[Name]],'Classic day 1 - players'!$A$2:$B$64,2,FALSE),"")</f>
        <v/>
      </c>
      <c r="E218" s="33" t="str">
        <f>IF(Table2[[#This Row],[Tee time1]]&lt;&gt;"",COUNTIF('Classic day 1 - players'!$B$2:$B$64,"="&amp;Table2[[#This Row],[Tee time1]]),"")</f>
        <v/>
      </c>
      <c r="F218" s="4" t="str">
        <f>_xlfn.IFNA(VLOOKUP(Table2[[#This Row],[Tee time1]],'Classic day 1 - groups'!$A$3:$F$20,6,FALSE),"")</f>
        <v/>
      </c>
      <c r="G218" s="11" t="str">
        <f>_xlfn.IFNA(VLOOKUP(Table2[[#This Row],[Tee time1]],'Classic day 1 - groups'!$A$3:$F$20,4,FALSE),"")</f>
        <v/>
      </c>
      <c r="H218" s="12" t="str">
        <f>_xlfn.IFNA(VLOOKUP(Table2[[#This Row],[Tee time1]],'Classic day 1 - groups'!$A$3:$F$20,5,FALSE),"")</f>
        <v/>
      </c>
      <c r="I218" s="69" t="str">
        <f>IFERROR((MAX(starting_interval,IF(Table2[[#This Row],[gap1]]="NA",Table2[[#This Row],[avg gap]],Table2[[#This Row],[gap1]]))-starting_interval)*Table2[[#This Row],[followers1]]/Table2[[#This Row],[group size]],"")</f>
        <v/>
      </c>
      <c r="J218" s="32" t="str">
        <f>_xlfn.IFNA(VLOOKUP(Table2[[#This Row],[Name]],'Classic day 2 - players'!$A$2:$B$64,2,FALSE),"")</f>
        <v/>
      </c>
      <c r="K218" s="4" t="str">
        <f>IF(Table2[[#This Row],[tee time2]]&lt;&gt;"",COUNTIF('Classic day 2 - players'!$B$2:$B$64,"="&amp;Table2[[#This Row],[tee time2]]),"")</f>
        <v/>
      </c>
      <c r="L218" s="4" t="str">
        <f>_xlfn.IFNA(VLOOKUP(Table2[[#This Row],[tee time2]],'Classic day 2 - groups'!$A$3:$F$20,6,FALSE),"")</f>
        <v/>
      </c>
      <c r="M218" s="4" t="str">
        <f>_xlfn.IFNA(VLOOKUP(Table2[[#This Row],[tee time2]],'Classic day 2 - groups'!$A$3:$F$20,4,FALSE),"")</f>
        <v/>
      </c>
      <c r="N218" s="65" t="str">
        <f>_xlfn.IFNA(VLOOKUP(Table2[[#This Row],[tee time2]],'Classic day 2 - groups'!$A$3:$F$20,5,FALSE),"")</f>
        <v/>
      </c>
      <c r="O218" s="69" t="str">
        <f>IFERROR((MAX(starting_interval,IF(Table2[[#This Row],[gap2]]="NA",Table2[[#This Row],[avg gap]],Table2[[#This Row],[gap2]]))-starting_interval)*Table2[[#This Row],[followers2]]/Table2[[#This Row],[group size2]],"")</f>
        <v/>
      </c>
      <c r="P218" s="32" t="str">
        <f>_xlfn.IFNA(VLOOKUP(Table2[[#This Row],[Name]],'Summer FD - players'!$A$2:$B$65,2,FALSE),"")</f>
        <v/>
      </c>
      <c r="Q218" s="59" t="str">
        <f>IF(Table2[[#This Row],[tee time3]]&lt;&gt;"",COUNTIF('Summer FD - players'!$B$2:$B$65,"="&amp;Table2[[#This Row],[tee time3]]),"")</f>
        <v/>
      </c>
      <c r="R218" s="59" t="str">
        <f>_xlfn.IFNA(VLOOKUP(Table2[[#This Row],[tee time3]],'Summer FD - groups'!$A$3:$F$20,6,FALSE),"")</f>
        <v/>
      </c>
      <c r="S218" s="4" t="str">
        <f>_xlfn.IFNA(VLOOKUP(Table2[[#This Row],[tee time3]],'Summer FD - groups'!$A$3:$F$20,4,FALSE),"")</f>
        <v/>
      </c>
      <c r="T218" s="13" t="str">
        <f>_xlfn.IFNA(VLOOKUP(Table2[[#This Row],[tee time3]],'Summer FD - groups'!$A$3:$F$20,5,FALSE),"")</f>
        <v/>
      </c>
      <c r="U218" s="69" t="str">
        <f>IF(Table2[[#This Row],[avg gap]]&lt;&gt;"",IFERROR((MAX(starting_interval,IF(Table2[[#This Row],[gap3]]="NA",Table2[[#This Row],[avg gap]],Table2[[#This Row],[gap3]]))-starting_interval)*Table2[[#This Row],[followers3]]/Table2[[#This Row],[group size3]],""),"")</f>
        <v/>
      </c>
      <c r="V218" s="32" t="str">
        <f>_xlfn.IFNA(VLOOKUP(Table2[[#This Row],[Name]],'6-6-6 - players'!$A$2:$B$69,2,FALSE),"")</f>
        <v/>
      </c>
      <c r="W218" s="59" t="str">
        <f>IF(Table2[[#This Row],[tee time4]]&lt;&gt;"",COUNTIF('6-6-6 - players'!$B$2:$B$69,"="&amp;Table2[[#This Row],[tee time4]]),"")</f>
        <v/>
      </c>
      <c r="X218" s="59" t="str">
        <f>_xlfn.IFNA(VLOOKUP(Table2[[#This Row],[tee time4]],'6-6-6 - groups'!$A$3:$F$20,6,FALSE),"")</f>
        <v/>
      </c>
      <c r="Y218" s="4" t="str">
        <f>_xlfn.IFNA(VLOOKUP(Table2[[#This Row],[tee time4]],'6-6-6 - groups'!$A$3:$F$20,4,FALSE),"")</f>
        <v/>
      </c>
      <c r="Z218" s="13" t="str">
        <f>_xlfn.IFNA(VLOOKUP(Table2[[#This Row],[tee time4]],'6-6-6 - groups'!$A$3:$F$20,5,FALSE),"")</f>
        <v/>
      </c>
      <c r="AA218" s="69" t="str">
        <f>IF(Table2[[#This Row],[avg gap]]&lt;&gt;"",IFERROR((MAX(starting_interval,IF(Table2[[#This Row],[gap4]]="NA",Table2[[#This Row],[avg gap]],Table2[[#This Row],[gap4]]))-starting_interval)*Table2[[#This Row],[followers4]]/Table2[[#This Row],[group size4]],""),"")</f>
        <v/>
      </c>
      <c r="AB218" s="32" t="str">
        <f>_xlfn.IFNA(VLOOKUP(Table2[[#This Row],[Name]],'Fall FD - players'!$A$2:$B$65,2,FALSE),"")</f>
        <v/>
      </c>
      <c r="AC218" s="59" t="str">
        <f>IF(Table2[[#This Row],[tee time5]]&lt;&gt;"",COUNTIF('Fall FD - players'!$B$2:$B$65,"="&amp;Table2[[#This Row],[tee time5]]),"")</f>
        <v/>
      </c>
      <c r="AD218" s="59" t="str">
        <f>_xlfn.IFNA(VLOOKUP(Table2[[#This Row],[tee time5]],'Fall FD - groups'!$A$3:$F$20,6,FALSE),"")</f>
        <v/>
      </c>
      <c r="AE218" s="4" t="str">
        <f>_xlfn.IFNA(VLOOKUP(Table2[[#This Row],[tee time5]],'Fall FD - groups'!$A$3:$F$20,4,FALSE),"")</f>
        <v/>
      </c>
      <c r="AF218" s="13" t="str">
        <f>IFERROR(MIN(_xlfn.IFNA(VLOOKUP(Table2[[#This Row],[tee time5]],'Fall FD - groups'!$A$3:$F$20,5,FALSE),""),starting_interval + Table2[[#This Row],[round5]] - standard_round_time),"")</f>
        <v/>
      </c>
      <c r="AG218" s="69" t="str">
        <f>IF(AND(Table2[[#This Row],[gap5]]="NA",Table2[[#This Row],[round5]]&lt;4/24),0,IFERROR((MAX(starting_interval,IF(Table2[[#This Row],[gap5]]="NA",Table2[[#This Row],[avg gap]],Table2[[#This Row],[gap5]]))-starting_interval)*Table2[[#This Row],[followers5]]/Table2[[#This Row],[group size5]],""))</f>
        <v/>
      </c>
      <c r="AH218" s="32" t="str">
        <f>_xlfn.IFNA(VLOOKUP(Table2[[#This Row],[Name]],'Stableford - players'!$A$2:$B$65,2,FALSE),"")</f>
        <v/>
      </c>
      <c r="AI218" s="59" t="str">
        <f>IF(Table2[[#This Row],[tee time6]]&lt;&gt;"",COUNTIF('Stableford - players'!$B$2:$B$65,"="&amp;Table2[[#This Row],[tee time6]]),"")</f>
        <v/>
      </c>
      <c r="AJ218" s="59" t="str">
        <f>_xlfn.IFNA(VLOOKUP(Table2[[#This Row],[tee time6]],'Stableford - groups'!$A$3:$F$20,6,FALSE),"")</f>
        <v/>
      </c>
      <c r="AK218" s="11" t="str">
        <f>_xlfn.IFNA(VLOOKUP(Table2[[#This Row],[tee time6]],'Stableford - groups'!$A$3:$F$20,4,FALSE),"")</f>
        <v/>
      </c>
      <c r="AL218" s="13" t="str">
        <f>_xlfn.IFNA(VLOOKUP(Table2[[#This Row],[tee time6]],'Stableford - groups'!$A$3:$F$20,5,FALSE),"")</f>
        <v/>
      </c>
      <c r="AM218" s="68" t="str">
        <f>IF(AND(Table2[[#This Row],[gap6]]="NA",Table2[[#This Row],[round6]]&lt;4/24),0,IFERROR((MAX(starting_interval,IF(Table2[[#This Row],[gap6]]="NA",Table2[[#This Row],[avg gap]],Table2[[#This Row],[gap6]]))-starting_interval)*Table2[[#This Row],[followers6]]/Table2[[#This Row],[group size6]],""))</f>
        <v/>
      </c>
      <c r="AN218" s="32" t="str">
        <f>_xlfn.IFNA(VLOOKUP(Table2[[#This Row],[Name]],'Turkey Shoot - players'!$A$2:$B$65,2,FALSE),"")</f>
        <v/>
      </c>
      <c r="AO218" s="59" t="str">
        <f>IF(Table2[[#This Row],[tee time7]]&lt;&gt;"",COUNTIF('Turkey Shoot - players'!$B$2:$B$65,"="&amp;Table2[[#This Row],[tee time7]]),"")</f>
        <v/>
      </c>
      <c r="AP218" s="59" t="str">
        <f>_xlfn.IFNA(VLOOKUP(Table2[[#This Row],[tee time7]],'Stableford - groups'!$A$3:$F$20,6,FALSE),"")</f>
        <v/>
      </c>
      <c r="AQ218" s="11" t="str">
        <f>_xlfn.IFNA(VLOOKUP(Table2[[#This Row],[tee time7]],'Turkey Shoot - groups'!$A$3:$F$20,4,FALSE),"")</f>
        <v/>
      </c>
      <c r="AR218" s="13" t="str">
        <f>_xlfn.IFNA(VLOOKUP(Table2[[#This Row],[tee time7]],'Turkey Shoot - groups'!$A$3:$F$20,5,FALSE),"")</f>
        <v/>
      </c>
      <c r="AS218" s="68" t="str">
        <f>IF(AND(Table2[[#This Row],[gap7]]="NA",Table2[[#This Row],[round7]]&lt;4/24),0,IFERROR((MAX(starting_interval,IF(Table2[[#This Row],[gap7]]="NA",Table2[[#This Row],[avg gap]],Table2[[#This Row],[gap7]]))-starting_interval)*Table2[[#This Row],[followers7]]/Table2[[#This Row],[group size7]],""))</f>
        <v/>
      </c>
      <c r="AT218" s="72">
        <f>COUNT(Table2[[#This Row],[Tee time1]],Table2[[#This Row],[tee time2]],Table2[[#This Row],[tee time3]],Table2[[#This Row],[tee time4]],Table2[[#This Row],[tee time5]],Table2[[#This Row],[tee time6]],Table2[[#This Row],[tee time7]])</f>
        <v>0</v>
      </c>
      <c r="AU218" s="4" t="str">
        <f>IFERROR(AVERAGE(Table2[[#This Row],[Tee time1]],Table2[[#This Row],[tee time2]],Table2[[#This Row],[tee time3]],Table2[[#This Row],[tee time4]],Table2[[#This Row],[tee time5]],Table2[[#This Row],[tee time6]],Table2[[#This Row],[tee time7]]),"")</f>
        <v/>
      </c>
      <c r="AV218" s="11" t="str">
        <f>IFERROR(MEDIAN(Table2[[#This Row],[round1]],Table2[[#This Row],[Round2]],Table2[[#This Row],[round3]],Table2[[#This Row],[round4]],Table2[[#This Row],[round5]],Table2[[#This Row],[round6]],Table2[[#This Row],[round7]]),"")</f>
        <v/>
      </c>
      <c r="AW218" s="11" t="str">
        <f>IFERROR(AVERAGE(Table2[[#This Row],[gap1]],Table2[[#This Row],[gap2]],Table2[[#This Row],[gap3]],Table2[[#This Row],[gap4]],Table2[[#This Row],[gap5]],Table2[[#This Row],[gap6]],Table2[[#This Row],[gap7]]),"")</f>
        <v/>
      </c>
      <c r="AX218" s="9" t="str">
        <f>IFERROR((Table2[[#This Row],[avg gap]]-starting_interval)*24*60*Table2[[#This Row],[Count]],"NA")</f>
        <v>NA</v>
      </c>
      <c r="AY218"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18" s="2"/>
    </row>
    <row r="219" spans="1:52" hidden="1" x14ac:dyDescent="0.3">
      <c r="A219" s="10" t="s">
        <v>189</v>
      </c>
      <c r="B219" s="1" t="s">
        <v>429</v>
      </c>
      <c r="C219" s="19">
        <v>17.3</v>
      </c>
      <c r="D219" s="32" t="str">
        <f>_xlfn.IFNA(VLOOKUP(Table2[[#This Row],[Name]],'Classic day 1 - players'!$A$2:$B$64,2,FALSE),"")</f>
        <v/>
      </c>
      <c r="E219" s="33" t="str">
        <f>IF(Table2[[#This Row],[Tee time1]]&lt;&gt;"",COUNTIF('Classic day 1 - players'!$B$2:$B$64,"="&amp;Table2[[#This Row],[Tee time1]]),"")</f>
        <v/>
      </c>
      <c r="F219" s="4" t="str">
        <f>_xlfn.IFNA(VLOOKUP(Table2[[#This Row],[Tee time1]],'Classic day 1 - groups'!$A$3:$F$20,6,FALSE),"")</f>
        <v/>
      </c>
      <c r="G219" s="11" t="str">
        <f>_xlfn.IFNA(VLOOKUP(Table2[[#This Row],[Tee time1]],'Classic day 1 - groups'!$A$3:$F$20,4,FALSE),"")</f>
        <v/>
      </c>
      <c r="H219" s="12" t="str">
        <f>_xlfn.IFNA(VLOOKUP(Table2[[#This Row],[Tee time1]],'Classic day 1 - groups'!$A$3:$F$20,5,FALSE),"")</f>
        <v/>
      </c>
      <c r="I219" s="69" t="str">
        <f>IFERROR((MAX(starting_interval,IF(Table2[[#This Row],[gap1]]="NA",Table2[[#This Row],[avg gap]],Table2[[#This Row],[gap1]]))-starting_interval)*Table2[[#This Row],[followers1]]/Table2[[#This Row],[group size]],"")</f>
        <v/>
      </c>
      <c r="J219" s="32" t="str">
        <f>_xlfn.IFNA(VLOOKUP(Table2[[#This Row],[Name]],'Classic day 2 - players'!$A$2:$B$64,2,FALSE),"")</f>
        <v/>
      </c>
      <c r="K219" s="4" t="str">
        <f>IF(Table2[[#This Row],[tee time2]]&lt;&gt;"",COUNTIF('Classic day 2 - players'!$B$2:$B$64,"="&amp;Table2[[#This Row],[tee time2]]),"")</f>
        <v/>
      </c>
      <c r="L219" s="4" t="str">
        <f>_xlfn.IFNA(VLOOKUP(Table2[[#This Row],[tee time2]],'Classic day 2 - groups'!$A$3:$F$20,6,FALSE),"")</f>
        <v/>
      </c>
      <c r="M219" s="4" t="str">
        <f>_xlfn.IFNA(VLOOKUP(Table2[[#This Row],[tee time2]],'Classic day 2 - groups'!$A$3:$F$20,4,FALSE),"")</f>
        <v/>
      </c>
      <c r="N219" s="65" t="str">
        <f>_xlfn.IFNA(VLOOKUP(Table2[[#This Row],[tee time2]],'Classic day 2 - groups'!$A$3:$F$20,5,FALSE),"")</f>
        <v/>
      </c>
      <c r="O219" s="69" t="str">
        <f>IFERROR((MAX(starting_interval,IF(Table2[[#This Row],[gap2]]="NA",Table2[[#This Row],[avg gap]],Table2[[#This Row],[gap2]]))-starting_interval)*Table2[[#This Row],[followers2]]/Table2[[#This Row],[group size2]],"")</f>
        <v/>
      </c>
      <c r="P219" s="32" t="str">
        <f>_xlfn.IFNA(VLOOKUP(Table2[[#This Row],[Name]],'Summer FD - players'!$A$2:$B$65,2,FALSE),"")</f>
        <v/>
      </c>
      <c r="Q219" s="59" t="str">
        <f>IF(Table2[[#This Row],[tee time3]]&lt;&gt;"",COUNTIF('Summer FD - players'!$B$2:$B$65,"="&amp;Table2[[#This Row],[tee time3]]),"")</f>
        <v/>
      </c>
      <c r="R219" s="59" t="str">
        <f>_xlfn.IFNA(VLOOKUP(Table2[[#This Row],[tee time3]],'Summer FD - groups'!$A$3:$F$20,6,FALSE),"")</f>
        <v/>
      </c>
      <c r="S219" s="4" t="str">
        <f>_xlfn.IFNA(VLOOKUP(Table2[[#This Row],[tee time3]],'Summer FD - groups'!$A$3:$F$20,4,FALSE),"")</f>
        <v/>
      </c>
      <c r="T219" s="13" t="str">
        <f>_xlfn.IFNA(VLOOKUP(Table2[[#This Row],[tee time3]],'Summer FD - groups'!$A$3:$F$20,5,FALSE),"")</f>
        <v/>
      </c>
      <c r="U219" s="69" t="str">
        <f>IF(Table2[[#This Row],[avg gap]]&lt;&gt;"",IFERROR((MAX(starting_interval,IF(Table2[[#This Row],[gap3]]="NA",Table2[[#This Row],[avg gap]],Table2[[#This Row],[gap3]]))-starting_interval)*Table2[[#This Row],[followers3]]/Table2[[#This Row],[group size3]],""),"")</f>
        <v/>
      </c>
      <c r="V219" s="32" t="str">
        <f>_xlfn.IFNA(VLOOKUP(Table2[[#This Row],[Name]],'6-6-6 - players'!$A$2:$B$69,2,FALSE),"")</f>
        <v/>
      </c>
      <c r="W219" s="59" t="str">
        <f>IF(Table2[[#This Row],[tee time4]]&lt;&gt;"",COUNTIF('6-6-6 - players'!$B$2:$B$69,"="&amp;Table2[[#This Row],[tee time4]]),"")</f>
        <v/>
      </c>
      <c r="X219" s="59" t="str">
        <f>_xlfn.IFNA(VLOOKUP(Table2[[#This Row],[tee time4]],'6-6-6 - groups'!$A$3:$F$20,6,FALSE),"")</f>
        <v/>
      </c>
      <c r="Y219" s="4" t="str">
        <f>_xlfn.IFNA(VLOOKUP(Table2[[#This Row],[tee time4]],'6-6-6 - groups'!$A$3:$F$20,4,FALSE),"")</f>
        <v/>
      </c>
      <c r="Z219" s="13" t="str">
        <f>_xlfn.IFNA(VLOOKUP(Table2[[#This Row],[tee time4]],'6-6-6 - groups'!$A$3:$F$20,5,FALSE),"")</f>
        <v/>
      </c>
      <c r="AA219" s="69" t="str">
        <f>IF(Table2[[#This Row],[avg gap]]&lt;&gt;"",IFERROR((MAX(starting_interval,IF(Table2[[#This Row],[gap4]]="NA",Table2[[#This Row],[avg gap]],Table2[[#This Row],[gap4]]))-starting_interval)*Table2[[#This Row],[followers4]]/Table2[[#This Row],[group size4]],""),"")</f>
        <v/>
      </c>
      <c r="AB219" s="32" t="str">
        <f>_xlfn.IFNA(VLOOKUP(Table2[[#This Row],[Name]],'Fall FD - players'!$A$2:$B$65,2,FALSE),"")</f>
        <v/>
      </c>
      <c r="AC219" s="59" t="str">
        <f>IF(Table2[[#This Row],[tee time5]]&lt;&gt;"",COUNTIF('Fall FD - players'!$B$2:$B$65,"="&amp;Table2[[#This Row],[tee time5]]),"")</f>
        <v/>
      </c>
      <c r="AD219" s="59" t="str">
        <f>_xlfn.IFNA(VLOOKUP(Table2[[#This Row],[tee time5]],'Fall FD - groups'!$A$3:$F$20,6,FALSE),"")</f>
        <v/>
      </c>
      <c r="AE219" s="4" t="str">
        <f>_xlfn.IFNA(VLOOKUP(Table2[[#This Row],[tee time5]],'Fall FD - groups'!$A$3:$F$20,4,FALSE),"")</f>
        <v/>
      </c>
      <c r="AF219" s="13" t="str">
        <f>IFERROR(MIN(_xlfn.IFNA(VLOOKUP(Table2[[#This Row],[tee time5]],'Fall FD - groups'!$A$3:$F$20,5,FALSE),""),starting_interval + Table2[[#This Row],[round5]] - standard_round_time),"")</f>
        <v/>
      </c>
      <c r="AG219" s="69" t="str">
        <f>IF(AND(Table2[[#This Row],[gap5]]="NA",Table2[[#This Row],[round5]]&lt;4/24),0,IFERROR((MAX(starting_interval,IF(Table2[[#This Row],[gap5]]="NA",Table2[[#This Row],[avg gap]],Table2[[#This Row],[gap5]]))-starting_interval)*Table2[[#This Row],[followers5]]/Table2[[#This Row],[group size5]],""))</f>
        <v/>
      </c>
      <c r="AH219" s="32" t="str">
        <f>_xlfn.IFNA(VLOOKUP(Table2[[#This Row],[Name]],'Stableford - players'!$A$2:$B$65,2,FALSE),"")</f>
        <v/>
      </c>
      <c r="AI219" s="59" t="str">
        <f>IF(Table2[[#This Row],[tee time6]]&lt;&gt;"",COUNTIF('Stableford - players'!$B$2:$B$65,"="&amp;Table2[[#This Row],[tee time6]]),"")</f>
        <v/>
      </c>
      <c r="AJ219" s="59" t="str">
        <f>_xlfn.IFNA(VLOOKUP(Table2[[#This Row],[tee time6]],'Stableford - groups'!$A$3:$F$20,6,FALSE),"")</f>
        <v/>
      </c>
      <c r="AK219" s="11" t="str">
        <f>_xlfn.IFNA(VLOOKUP(Table2[[#This Row],[tee time6]],'Stableford - groups'!$A$3:$F$20,4,FALSE),"")</f>
        <v/>
      </c>
      <c r="AL219" s="13" t="str">
        <f>_xlfn.IFNA(VLOOKUP(Table2[[#This Row],[tee time6]],'Stableford - groups'!$A$3:$F$20,5,FALSE),"")</f>
        <v/>
      </c>
      <c r="AM219" s="68" t="str">
        <f>IF(AND(Table2[[#This Row],[gap6]]="NA",Table2[[#This Row],[round6]]&lt;4/24),0,IFERROR((MAX(starting_interval,IF(Table2[[#This Row],[gap6]]="NA",Table2[[#This Row],[avg gap]],Table2[[#This Row],[gap6]]))-starting_interval)*Table2[[#This Row],[followers6]]/Table2[[#This Row],[group size6]],""))</f>
        <v/>
      </c>
      <c r="AN219" s="32" t="str">
        <f>_xlfn.IFNA(VLOOKUP(Table2[[#This Row],[Name]],'Turkey Shoot - players'!$A$2:$B$65,2,FALSE),"")</f>
        <v/>
      </c>
      <c r="AO219" s="59" t="str">
        <f>IF(Table2[[#This Row],[tee time7]]&lt;&gt;"",COUNTIF('Turkey Shoot - players'!$B$2:$B$65,"="&amp;Table2[[#This Row],[tee time7]]),"")</f>
        <v/>
      </c>
      <c r="AP219" s="59" t="str">
        <f>_xlfn.IFNA(VLOOKUP(Table2[[#This Row],[tee time7]],'Stableford - groups'!$A$3:$F$20,6,FALSE),"")</f>
        <v/>
      </c>
      <c r="AQ219" s="11" t="str">
        <f>_xlfn.IFNA(VLOOKUP(Table2[[#This Row],[tee time7]],'Turkey Shoot - groups'!$A$3:$F$20,4,FALSE),"")</f>
        <v/>
      </c>
      <c r="AR219" s="13" t="str">
        <f>_xlfn.IFNA(VLOOKUP(Table2[[#This Row],[tee time7]],'Turkey Shoot - groups'!$A$3:$F$20,5,FALSE),"")</f>
        <v/>
      </c>
      <c r="AS219" s="68" t="str">
        <f>IF(AND(Table2[[#This Row],[gap7]]="NA",Table2[[#This Row],[round7]]&lt;4/24),0,IFERROR((MAX(starting_interval,IF(Table2[[#This Row],[gap7]]="NA",Table2[[#This Row],[avg gap]],Table2[[#This Row],[gap7]]))-starting_interval)*Table2[[#This Row],[followers7]]/Table2[[#This Row],[group size7]],""))</f>
        <v/>
      </c>
      <c r="AT219" s="72">
        <f>COUNT(Table2[[#This Row],[Tee time1]],Table2[[#This Row],[tee time2]],Table2[[#This Row],[tee time3]],Table2[[#This Row],[tee time4]],Table2[[#This Row],[tee time5]],Table2[[#This Row],[tee time6]],Table2[[#This Row],[tee time7]])</f>
        <v>0</v>
      </c>
      <c r="AU219" s="4" t="str">
        <f>IFERROR(AVERAGE(Table2[[#This Row],[Tee time1]],Table2[[#This Row],[tee time2]],Table2[[#This Row],[tee time3]],Table2[[#This Row],[tee time4]],Table2[[#This Row],[tee time5]],Table2[[#This Row],[tee time6]],Table2[[#This Row],[tee time7]]),"")</f>
        <v/>
      </c>
      <c r="AV219" s="11" t="str">
        <f>IFERROR(MEDIAN(Table2[[#This Row],[round1]],Table2[[#This Row],[Round2]],Table2[[#This Row],[round3]],Table2[[#This Row],[round4]],Table2[[#This Row],[round5]],Table2[[#This Row],[round6]],Table2[[#This Row],[round7]]),"")</f>
        <v/>
      </c>
      <c r="AW219" s="11" t="str">
        <f>IFERROR(AVERAGE(Table2[[#This Row],[gap1]],Table2[[#This Row],[gap2]],Table2[[#This Row],[gap3]],Table2[[#This Row],[gap4]],Table2[[#This Row],[gap5]],Table2[[#This Row],[gap6]],Table2[[#This Row],[gap7]]),"")</f>
        <v/>
      </c>
      <c r="AX219" s="9" t="str">
        <f>IFERROR((Table2[[#This Row],[avg gap]]-starting_interval)*24*60*Table2[[#This Row],[Count]],"NA")</f>
        <v>NA</v>
      </c>
      <c r="AY219"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19" s="2"/>
    </row>
    <row r="220" spans="1:52" hidden="1" x14ac:dyDescent="0.3">
      <c r="A220" s="10" t="s">
        <v>191</v>
      </c>
      <c r="B220" s="1" t="s">
        <v>431</v>
      </c>
      <c r="C220" s="19">
        <v>20.2</v>
      </c>
      <c r="D220" s="32" t="str">
        <f>_xlfn.IFNA(VLOOKUP(Table2[[#This Row],[Name]],'Classic day 1 - players'!$A$2:$B$64,2,FALSE),"")</f>
        <v/>
      </c>
      <c r="E220" s="33" t="str">
        <f>IF(Table2[[#This Row],[Tee time1]]&lt;&gt;"",COUNTIF('Classic day 1 - players'!$B$2:$B$64,"="&amp;Table2[[#This Row],[Tee time1]]),"")</f>
        <v/>
      </c>
      <c r="F220" s="4" t="str">
        <f>_xlfn.IFNA(VLOOKUP(Table2[[#This Row],[Tee time1]],'Classic day 1 - groups'!$A$3:$F$20,6,FALSE),"")</f>
        <v/>
      </c>
      <c r="G220" s="11" t="str">
        <f>_xlfn.IFNA(VLOOKUP(Table2[[#This Row],[Tee time1]],'Classic day 1 - groups'!$A$3:$F$20,4,FALSE),"")</f>
        <v/>
      </c>
      <c r="H220" s="12" t="str">
        <f>_xlfn.IFNA(VLOOKUP(Table2[[#This Row],[Tee time1]],'Classic day 1 - groups'!$A$3:$F$20,5,FALSE),"")</f>
        <v/>
      </c>
      <c r="I220" s="69" t="str">
        <f>IFERROR((MAX(starting_interval,IF(Table2[[#This Row],[gap1]]="NA",Table2[[#This Row],[avg gap]],Table2[[#This Row],[gap1]]))-starting_interval)*Table2[[#This Row],[followers1]]/Table2[[#This Row],[group size]],"")</f>
        <v/>
      </c>
      <c r="J220" s="32" t="str">
        <f>_xlfn.IFNA(VLOOKUP(Table2[[#This Row],[Name]],'Classic day 2 - players'!$A$2:$B$64,2,FALSE),"")</f>
        <v/>
      </c>
      <c r="K220" s="4" t="str">
        <f>IF(Table2[[#This Row],[tee time2]]&lt;&gt;"",COUNTIF('Classic day 2 - players'!$B$2:$B$64,"="&amp;Table2[[#This Row],[tee time2]]),"")</f>
        <v/>
      </c>
      <c r="L220" s="4" t="str">
        <f>_xlfn.IFNA(VLOOKUP(Table2[[#This Row],[tee time2]],'Classic day 2 - groups'!$A$3:$F$20,6,FALSE),"")</f>
        <v/>
      </c>
      <c r="M220" s="4" t="str">
        <f>_xlfn.IFNA(VLOOKUP(Table2[[#This Row],[tee time2]],'Classic day 2 - groups'!$A$3:$F$20,4,FALSE),"")</f>
        <v/>
      </c>
      <c r="N220" s="65" t="str">
        <f>_xlfn.IFNA(VLOOKUP(Table2[[#This Row],[tee time2]],'Classic day 2 - groups'!$A$3:$F$20,5,FALSE),"")</f>
        <v/>
      </c>
      <c r="O220" s="69" t="str">
        <f>IFERROR((MAX(starting_interval,IF(Table2[[#This Row],[gap2]]="NA",Table2[[#This Row],[avg gap]],Table2[[#This Row],[gap2]]))-starting_interval)*Table2[[#This Row],[followers2]]/Table2[[#This Row],[group size2]],"")</f>
        <v/>
      </c>
      <c r="P220" s="32" t="str">
        <f>_xlfn.IFNA(VLOOKUP(Table2[[#This Row],[Name]],'Summer FD - players'!$A$2:$B$65,2,FALSE),"")</f>
        <v/>
      </c>
      <c r="Q220" s="59" t="str">
        <f>IF(Table2[[#This Row],[tee time3]]&lt;&gt;"",COUNTIF('Summer FD - players'!$B$2:$B$65,"="&amp;Table2[[#This Row],[tee time3]]),"")</f>
        <v/>
      </c>
      <c r="R220" s="59" t="str">
        <f>_xlfn.IFNA(VLOOKUP(Table2[[#This Row],[tee time3]],'Summer FD - groups'!$A$3:$F$20,6,FALSE),"")</f>
        <v/>
      </c>
      <c r="S220" s="4" t="str">
        <f>_xlfn.IFNA(VLOOKUP(Table2[[#This Row],[tee time3]],'Summer FD - groups'!$A$3:$F$20,4,FALSE),"")</f>
        <v/>
      </c>
      <c r="T220" s="13" t="str">
        <f>_xlfn.IFNA(VLOOKUP(Table2[[#This Row],[tee time3]],'Summer FD - groups'!$A$3:$F$20,5,FALSE),"")</f>
        <v/>
      </c>
      <c r="U220" s="69" t="str">
        <f>IF(Table2[[#This Row],[avg gap]]&lt;&gt;"",IFERROR((MAX(starting_interval,IF(Table2[[#This Row],[gap3]]="NA",Table2[[#This Row],[avg gap]],Table2[[#This Row],[gap3]]))-starting_interval)*Table2[[#This Row],[followers3]]/Table2[[#This Row],[group size3]],""),"")</f>
        <v/>
      </c>
      <c r="V220" s="32" t="str">
        <f>_xlfn.IFNA(VLOOKUP(Table2[[#This Row],[Name]],'6-6-6 - players'!$A$2:$B$69,2,FALSE),"")</f>
        <v/>
      </c>
      <c r="W220" s="59" t="str">
        <f>IF(Table2[[#This Row],[tee time4]]&lt;&gt;"",COUNTIF('6-6-6 - players'!$B$2:$B$69,"="&amp;Table2[[#This Row],[tee time4]]),"")</f>
        <v/>
      </c>
      <c r="X220" s="59" t="str">
        <f>_xlfn.IFNA(VLOOKUP(Table2[[#This Row],[tee time4]],'6-6-6 - groups'!$A$3:$F$20,6,FALSE),"")</f>
        <v/>
      </c>
      <c r="Y220" s="4" t="str">
        <f>_xlfn.IFNA(VLOOKUP(Table2[[#This Row],[tee time4]],'6-6-6 - groups'!$A$3:$F$20,4,FALSE),"")</f>
        <v/>
      </c>
      <c r="Z220" s="13" t="str">
        <f>_xlfn.IFNA(VLOOKUP(Table2[[#This Row],[tee time4]],'6-6-6 - groups'!$A$3:$F$20,5,FALSE),"")</f>
        <v/>
      </c>
      <c r="AA220" s="69" t="str">
        <f>IF(Table2[[#This Row],[avg gap]]&lt;&gt;"",IFERROR((MAX(starting_interval,IF(Table2[[#This Row],[gap4]]="NA",Table2[[#This Row],[avg gap]],Table2[[#This Row],[gap4]]))-starting_interval)*Table2[[#This Row],[followers4]]/Table2[[#This Row],[group size4]],""),"")</f>
        <v/>
      </c>
      <c r="AB220" s="32" t="str">
        <f>_xlfn.IFNA(VLOOKUP(Table2[[#This Row],[Name]],'Fall FD - players'!$A$2:$B$65,2,FALSE),"")</f>
        <v/>
      </c>
      <c r="AC220" s="59" t="str">
        <f>IF(Table2[[#This Row],[tee time5]]&lt;&gt;"",COUNTIF('Fall FD - players'!$B$2:$B$65,"="&amp;Table2[[#This Row],[tee time5]]),"")</f>
        <v/>
      </c>
      <c r="AD220" s="59" t="str">
        <f>_xlfn.IFNA(VLOOKUP(Table2[[#This Row],[tee time5]],'Fall FD - groups'!$A$3:$F$20,6,FALSE),"")</f>
        <v/>
      </c>
      <c r="AE220" s="4" t="str">
        <f>_xlfn.IFNA(VLOOKUP(Table2[[#This Row],[tee time5]],'Fall FD - groups'!$A$3:$F$20,4,FALSE),"")</f>
        <v/>
      </c>
      <c r="AF220" s="13" t="str">
        <f>IFERROR(MIN(_xlfn.IFNA(VLOOKUP(Table2[[#This Row],[tee time5]],'Fall FD - groups'!$A$3:$F$20,5,FALSE),""),starting_interval + Table2[[#This Row],[round5]] - standard_round_time),"")</f>
        <v/>
      </c>
      <c r="AG220" s="69" t="str">
        <f>IF(AND(Table2[[#This Row],[gap5]]="NA",Table2[[#This Row],[round5]]&lt;4/24),0,IFERROR((MAX(starting_interval,IF(Table2[[#This Row],[gap5]]="NA",Table2[[#This Row],[avg gap]],Table2[[#This Row],[gap5]]))-starting_interval)*Table2[[#This Row],[followers5]]/Table2[[#This Row],[group size5]],""))</f>
        <v/>
      </c>
      <c r="AH220" s="32" t="str">
        <f>_xlfn.IFNA(VLOOKUP(Table2[[#This Row],[Name]],'Stableford - players'!$A$2:$B$65,2,FALSE),"")</f>
        <v/>
      </c>
      <c r="AI220" s="59" t="str">
        <f>IF(Table2[[#This Row],[tee time6]]&lt;&gt;"",COUNTIF('Stableford - players'!$B$2:$B$65,"="&amp;Table2[[#This Row],[tee time6]]),"")</f>
        <v/>
      </c>
      <c r="AJ220" s="59" t="str">
        <f>_xlfn.IFNA(VLOOKUP(Table2[[#This Row],[tee time6]],'Stableford - groups'!$A$3:$F$20,6,FALSE),"")</f>
        <v/>
      </c>
      <c r="AK220" s="11" t="str">
        <f>_xlfn.IFNA(VLOOKUP(Table2[[#This Row],[tee time6]],'Stableford - groups'!$A$3:$F$20,4,FALSE),"")</f>
        <v/>
      </c>
      <c r="AL220" s="13" t="str">
        <f>_xlfn.IFNA(VLOOKUP(Table2[[#This Row],[tee time6]],'Stableford - groups'!$A$3:$F$20,5,FALSE),"")</f>
        <v/>
      </c>
      <c r="AM220" s="68" t="str">
        <f>IF(AND(Table2[[#This Row],[gap6]]="NA",Table2[[#This Row],[round6]]&lt;4/24),0,IFERROR((MAX(starting_interval,IF(Table2[[#This Row],[gap6]]="NA",Table2[[#This Row],[avg gap]],Table2[[#This Row],[gap6]]))-starting_interval)*Table2[[#This Row],[followers6]]/Table2[[#This Row],[group size6]],""))</f>
        <v/>
      </c>
      <c r="AN220" s="32" t="str">
        <f>_xlfn.IFNA(VLOOKUP(Table2[[#This Row],[Name]],'Turkey Shoot - players'!$A$2:$B$65,2,FALSE),"")</f>
        <v/>
      </c>
      <c r="AO220" s="59" t="str">
        <f>IF(Table2[[#This Row],[tee time7]]&lt;&gt;"",COUNTIF('Turkey Shoot - players'!$B$2:$B$65,"="&amp;Table2[[#This Row],[tee time7]]),"")</f>
        <v/>
      </c>
      <c r="AP220" s="59" t="str">
        <f>_xlfn.IFNA(VLOOKUP(Table2[[#This Row],[tee time7]],'Stableford - groups'!$A$3:$F$20,6,FALSE),"")</f>
        <v/>
      </c>
      <c r="AQ220" s="11" t="str">
        <f>_xlfn.IFNA(VLOOKUP(Table2[[#This Row],[tee time7]],'Turkey Shoot - groups'!$A$3:$F$20,4,FALSE),"")</f>
        <v/>
      </c>
      <c r="AR220" s="13" t="str">
        <f>_xlfn.IFNA(VLOOKUP(Table2[[#This Row],[tee time7]],'Turkey Shoot - groups'!$A$3:$F$20,5,FALSE),"")</f>
        <v/>
      </c>
      <c r="AS220" s="68" t="str">
        <f>IF(AND(Table2[[#This Row],[gap7]]="NA",Table2[[#This Row],[round7]]&lt;4/24),0,IFERROR((MAX(starting_interval,IF(Table2[[#This Row],[gap7]]="NA",Table2[[#This Row],[avg gap]],Table2[[#This Row],[gap7]]))-starting_interval)*Table2[[#This Row],[followers7]]/Table2[[#This Row],[group size7]],""))</f>
        <v/>
      </c>
      <c r="AT220" s="72">
        <f>COUNT(Table2[[#This Row],[Tee time1]],Table2[[#This Row],[tee time2]],Table2[[#This Row],[tee time3]],Table2[[#This Row],[tee time4]],Table2[[#This Row],[tee time5]],Table2[[#This Row],[tee time6]],Table2[[#This Row],[tee time7]])</f>
        <v>0</v>
      </c>
      <c r="AU220" s="4" t="str">
        <f>IFERROR(AVERAGE(Table2[[#This Row],[Tee time1]],Table2[[#This Row],[tee time2]],Table2[[#This Row],[tee time3]],Table2[[#This Row],[tee time4]],Table2[[#This Row],[tee time5]],Table2[[#This Row],[tee time6]],Table2[[#This Row],[tee time7]]),"")</f>
        <v/>
      </c>
      <c r="AV220" s="11" t="str">
        <f>IFERROR(MEDIAN(Table2[[#This Row],[round1]],Table2[[#This Row],[Round2]],Table2[[#This Row],[round3]],Table2[[#This Row],[round4]],Table2[[#This Row],[round5]],Table2[[#This Row],[round6]],Table2[[#This Row],[round7]]),"")</f>
        <v/>
      </c>
      <c r="AW220" s="11" t="str">
        <f>IFERROR(AVERAGE(Table2[[#This Row],[gap1]],Table2[[#This Row],[gap2]],Table2[[#This Row],[gap3]],Table2[[#This Row],[gap4]],Table2[[#This Row],[gap5]],Table2[[#This Row],[gap6]],Table2[[#This Row],[gap7]]),"")</f>
        <v/>
      </c>
      <c r="AX220" s="9" t="str">
        <f>IFERROR((Table2[[#This Row],[avg gap]]-starting_interval)*24*60*Table2[[#This Row],[Count]],"NA")</f>
        <v>NA</v>
      </c>
      <c r="AY220"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20" s="2"/>
    </row>
    <row r="221" spans="1:52" hidden="1" x14ac:dyDescent="0.3">
      <c r="A221" s="10" t="s">
        <v>192</v>
      </c>
      <c r="B221" s="1" t="s">
        <v>432</v>
      </c>
      <c r="C221" s="19">
        <v>17.600000000000001</v>
      </c>
      <c r="D221" s="32" t="str">
        <f>_xlfn.IFNA(VLOOKUP(Table2[[#This Row],[Name]],'Classic day 1 - players'!$A$2:$B$64,2,FALSE),"")</f>
        <v/>
      </c>
      <c r="E221" s="33" t="str">
        <f>IF(Table2[[#This Row],[Tee time1]]&lt;&gt;"",COUNTIF('Classic day 1 - players'!$B$2:$B$64,"="&amp;Table2[[#This Row],[Tee time1]]),"")</f>
        <v/>
      </c>
      <c r="F221" s="4" t="str">
        <f>_xlfn.IFNA(VLOOKUP(Table2[[#This Row],[Tee time1]],'Classic day 1 - groups'!$A$3:$F$20,6,FALSE),"")</f>
        <v/>
      </c>
      <c r="G221" s="11" t="str">
        <f>_xlfn.IFNA(VLOOKUP(Table2[[#This Row],[Tee time1]],'Classic day 1 - groups'!$A$3:$F$20,4,FALSE),"")</f>
        <v/>
      </c>
      <c r="H221" s="12" t="str">
        <f>_xlfn.IFNA(VLOOKUP(Table2[[#This Row],[Tee time1]],'Classic day 1 - groups'!$A$3:$F$20,5,FALSE),"")</f>
        <v/>
      </c>
      <c r="I221" s="69" t="str">
        <f>IFERROR((MAX(starting_interval,IF(Table2[[#This Row],[gap1]]="NA",Table2[[#This Row],[avg gap]],Table2[[#This Row],[gap1]]))-starting_interval)*Table2[[#This Row],[followers1]]/Table2[[#This Row],[group size]],"")</f>
        <v/>
      </c>
      <c r="J221" s="32" t="str">
        <f>_xlfn.IFNA(VLOOKUP(Table2[[#This Row],[Name]],'Classic day 2 - players'!$A$2:$B$64,2,FALSE),"")</f>
        <v/>
      </c>
      <c r="K221" s="4" t="str">
        <f>IF(Table2[[#This Row],[tee time2]]&lt;&gt;"",COUNTIF('Classic day 2 - players'!$B$2:$B$64,"="&amp;Table2[[#This Row],[tee time2]]),"")</f>
        <v/>
      </c>
      <c r="L221" s="4" t="str">
        <f>_xlfn.IFNA(VLOOKUP(Table2[[#This Row],[tee time2]],'Classic day 2 - groups'!$A$3:$F$20,6,FALSE),"")</f>
        <v/>
      </c>
      <c r="M221" s="4" t="str">
        <f>_xlfn.IFNA(VLOOKUP(Table2[[#This Row],[tee time2]],'Classic day 2 - groups'!$A$3:$F$20,4,FALSE),"")</f>
        <v/>
      </c>
      <c r="N221" s="65" t="str">
        <f>_xlfn.IFNA(VLOOKUP(Table2[[#This Row],[tee time2]],'Classic day 2 - groups'!$A$3:$F$20,5,FALSE),"")</f>
        <v/>
      </c>
      <c r="O221" s="69" t="str">
        <f>IFERROR((MAX(starting_interval,IF(Table2[[#This Row],[gap2]]="NA",Table2[[#This Row],[avg gap]],Table2[[#This Row],[gap2]]))-starting_interval)*Table2[[#This Row],[followers2]]/Table2[[#This Row],[group size2]],"")</f>
        <v/>
      </c>
      <c r="P221" s="32" t="str">
        <f>_xlfn.IFNA(VLOOKUP(Table2[[#This Row],[Name]],'Summer FD - players'!$A$2:$B$65,2,FALSE),"")</f>
        <v/>
      </c>
      <c r="Q221" s="59" t="str">
        <f>IF(Table2[[#This Row],[tee time3]]&lt;&gt;"",COUNTIF('Summer FD - players'!$B$2:$B$65,"="&amp;Table2[[#This Row],[tee time3]]),"")</f>
        <v/>
      </c>
      <c r="R221" s="59" t="str">
        <f>_xlfn.IFNA(VLOOKUP(Table2[[#This Row],[tee time3]],'Summer FD - groups'!$A$3:$F$20,6,FALSE),"")</f>
        <v/>
      </c>
      <c r="S221" s="4" t="str">
        <f>_xlfn.IFNA(VLOOKUP(Table2[[#This Row],[tee time3]],'Summer FD - groups'!$A$3:$F$20,4,FALSE),"")</f>
        <v/>
      </c>
      <c r="T221" s="13" t="str">
        <f>_xlfn.IFNA(VLOOKUP(Table2[[#This Row],[tee time3]],'Summer FD - groups'!$A$3:$F$20,5,FALSE),"")</f>
        <v/>
      </c>
      <c r="U221" s="69" t="str">
        <f>IF(Table2[[#This Row],[avg gap]]&lt;&gt;"",IFERROR((MAX(starting_interval,IF(Table2[[#This Row],[gap3]]="NA",Table2[[#This Row],[avg gap]],Table2[[#This Row],[gap3]]))-starting_interval)*Table2[[#This Row],[followers3]]/Table2[[#This Row],[group size3]],""),"")</f>
        <v/>
      </c>
      <c r="V221" s="32" t="str">
        <f>_xlfn.IFNA(VLOOKUP(Table2[[#This Row],[Name]],'6-6-6 - players'!$A$2:$B$69,2,FALSE),"")</f>
        <v/>
      </c>
      <c r="W221" s="59" t="str">
        <f>IF(Table2[[#This Row],[tee time4]]&lt;&gt;"",COUNTIF('6-6-6 - players'!$B$2:$B$69,"="&amp;Table2[[#This Row],[tee time4]]),"")</f>
        <v/>
      </c>
      <c r="X221" s="59" t="str">
        <f>_xlfn.IFNA(VLOOKUP(Table2[[#This Row],[tee time4]],'6-6-6 - groups'!$A$3:$F$20,6,FALSE),"")</f>
        <v/>
      </c>
      <c r="Y221" s="4" t="str">
        <f>_xlfn.IFNA(VLOOKUP(Table2[[#This Row],[tee time4]],'6-6-6 - groups'!$A$3:$F$20,4,FALSE),"")</f>
        <v/>
      </c>
      <c r="Z221" s="13" t="str">
        <f>_xlfn.IFNA(VLOOKUP(Table2[[#This Row],[tee time4]],'6-6-6 - groups'!$A$3:$F$20,5,FALSE),"")</f>
        <v/>
      </c>
      <c r="AA221" s="69" t="str">
        <f>IF(Table2[[#This Row],[avg gap]]&lt;&gt;"",IFERROR((MAX(starting_interval,IF(Table2[[#This Row],[gap4]]="NA",Table2[[#This Row],[avg gap]],Table2[[#This Row],[gap4]]))-starting_interval)*Table2[[#This Row],[followers4]]/Table2[[#This Row],[group size4]],""),"")</f>
        <v/>
      </c>
      <c r="AB221" s="32" t="str">
        <f>_xlfn.IFNA(VLOOKUP(Table2[[#This Row],[Name]],'Fall FD - players'!$A$2:$B$65,2,FALSE),"")</f>
        <v/>
      </c>
      <c r="AC221" s="59" t="str">
        <f>IF(Table2[[#This Row],[tee time5]]&lt;&gt;"",COUNTIF('Fall FD - players'!$B$2:$B$65,"="&amp;Table2[[#This Row],[tee time5]]),"")</f>
        <v/>
      </c>
      <c r="AD221" s="59" t="str">
        <f>_xlfn.IFNA(VLOOKUP(Table2[[#This Row],[tee time5]],'Fall FD - groups'!$A$3:$F$20,6,FALSE),"")</f>
        <v/>
      </c>
      <c r="AE221" s="4" t="str">
        <f>_xlfn.IFNA(VLOOKUP(Table2[[#This Row],[tee time5]],'Fall FD - groups'!$A$3:$F$20,4,FALSE),"")</f>
        <v/>
      </c>
      <c r="AF221" s="13" t="str">
        <f>IFERROR(MIN(_xlfn.IFNA(VLOOKUP(Table2[[#This Row],[tee time5]],'Fall FD - groups'!$A$3:$F$20,5,FALSE),""),starting_interval + Table2[[#This Row],[round5]] - standard_round_time),"")</f>
        <v/>
      </c>
      <c r="AG221" s="69" t="str">
        <f>IF(AND(Table2[[#This Row],[gap5]]="NA",Table2[[#This Row],[round5]]&lt;4/24),0,IFERROR((MAX(starting_interval,IF(Table2[[#This Row],[gap5]]="NA",Table2[[#This Row],[avg gap]],Table2[[#This Row],[gap5]]))-starting_interval)*Table2[[#This Row],[followers5]]/Table2[[#This Row],[group size5]],""))</f>
        <v/>
      </c>
      <c r="AH221" s="32" t="str">
        <f>_xlfn.IFNA(VLOOKUP(Table2[[#This Row],[Name]],'Stableford - players'!$A$2:$B$65,2,FALSE),"")</f>
        <v/>
      </c>
      <c r="AI221" s="59" t="str">
        <f>IF(Table2[[#This Row],[tee time6]]&lt;&gt;"",COUNTIF('Stableford - players'!$B$2:$B$65,"="&amp;Table2[[#This Row],[tee time6]]),"")</f>
        <v/>
      </c>
      <c r="AJ221" s="59" t="str">
        <f>_xlfn.IFNA(VLOOKUP(Table2[[#This Row],[tee time6]],'Stableford - groups'!$A$3:$F$20,6,FALSE),"")</f>
        <v/>
      </c>
      <c r="AK221" s="11" t="str">
        <f>_xlfn.IFNA(VLOOKUP(Table2[[#This Row],[tee time6]],'Stableford - groups'!$A$3:$F$20,4,FALSE),"")</f>
        <v/>
      </c>
      <c r="AL221" s="13" t="str">
        <f>_xlfn.IFNA(VLOOKUP(Table2[[#This Row],[tee time6]],'Stableford - groups'!$A$3:$F$20,5,FALSE),"")</f>
        <v/>
      </c>
      <c r="AM221" s="68" t="str">
        <f>IF(AND(Table2[[#This Row],[gap6]]="NA",Table2[[#This Row],[round6]]&lt;4/24),0,IFERROR((MAX(starting_interval,IF(Table2[[#This Row],[gap6]]="NA",Table2[[#This Row],[avg gap]],Table2[[#This Row],[gap6]]))-starting_interval)*Table2[[#This Row],[followers6]]/Table2[[#This Row],[group size6]],""))</f>
        <v/>
      </c>
      <c r="AN221" s="32" t="str">
        <f>_xlfn.IFNA(VLOOKUP(Table2[[#This Row],[Name]],'Turkey Shoot - players'!$A$2:$B$65,2,FALSE),"")</f>
        <v/>
      </c>
      <c r="AO221" s="59" t="str">
        <f>IF(Table2[[#This Row],[tee time7]]&lt;&gt;"",COUNTIF('Turkey Shoot - players'!$B$2:$B$65,"="&amp;Table2[[#This Row],[tee time7]]),"")</f>
        <v/>
      </c>
      <c r="AP221" s="59" t="str">
        <f>_xlfn.IFNA(VLOOKUP(Table2[[#This Row],[tee time7]],'Stableford - groups'!$A$3:$F$20,6,FALSE),"")</f>
        <v/>
      </c>
      <c r="AQ221" s="11" t="str">
        <f>_xlfn.IFNA(VLOOKUP(Table2[[#This Row],[tee time7]],'Turkey Shoot - groups'!$A$3:$F$20,4,FALSE),"")</f>
        <v/>
      </c>
      <c r="AR221" s="13" t="str">
        <f>_xlfn.IFNA(VLOOKUP(Table2[[#This Row],[tee time7]],'Turkey Shoot - groups'!$A$3:$F$20,5,FALSE),"")</f>
        <v/>
      </c>
      <c r="AS221" s="68" t="str">
        <f>IF(AND(Table2[[#This Row],[gap7]]="NA",Table2[[#This Row],[round7]]&lt;4/24),0,IFERROR((MAX(starting_interval,IF(Table2[[#This Row],[gap7]]="NA",Table2[[#This Row],[avg gap]],Table2[[#This Row],[gap7]]))-starting_interval)*Table2[[#This Row],[followers7]]/Table2[[#This Row],[group size7]],""))</f>
        <v/>
      </c>
      <c r="AT221" s="72">
        <f>COUNT(Table2[[#This Row],[Tee time1]],Table2[[#This Row],[tee time2]],Table2[[#This Row],[tee time3]],Table2[[#This Row],[tee time4]],Table2[[#This Row],[tee time5]],Table2[[#This Row],[tee time6]],Table2[[#This Row],[tee time7]])</f>
        <v>0</v>
      </c>
      <c r="AU221" s="4" t="str">
        <f>IFERROR(AVERAGE(Table2[[#This Row],[Tee time1]],Table2[[#This Row],[tee time2]],Table2[[#This Row],[tee time3]],Table2[[#This Row],[tee time4]],Table2[[#This Row],[tee time5]],Table2[[#This Row],[tee time6]],Table2[[#This Row],[tee time7]]),"")</f>
        <v/>
      </c>
      <c r="AV221" s="11" t="str">
        <f>IFERROR(MEDIAN(Table2[[#This Row],[round1]],Table2[[#This Row],[Round2]],Table2[[#This Row],[round3]],Table2[[#This Row],[round4]],Table2[[#This Row],[round5]],Table2[[#This Row],[round6]],Table2[[#This Row],[round7]]),"")</f>
        <v/>
      </c>
      <c r="AW221" s="11" t="str">
        <f>IFERROR(AVERAGE(Table2[[#This Row],[gap1]],Table2[[#This Row],[gap2]],Table2[[#This Row],[gap3]],Table2[[#This Row],[gap4]],Table2[[#This Row],[gap5]],Table2[[#This Row],[gap6]],Table2[[#This Row],[gap7]]),"")</f>
        <v/>
      </c>
      <c r="AX221" s="9" t="str">
        <f>IFERROR((Table2[[#This Row],[avg gap]]-starting_interval)*24*60*Table2[[#This Row],[Count]],"NA")</f>
        <v>NA</v>
      </c>
      <c r="AY221"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21" s="2"/>
    </row>
    <row r="222" spans="1:52" hidden="1" x14ac:dyDescent="0.3">
      <c r="A222" s="10" t="s">
        <v>193</v>
      </c>
      <c r="B222" s="1" t="s">
        <v>433</v>
      </c>
      <c r="C222" s="19">
        <v>17.8</v>
      </c>
      <c r="D222" s="32" t="str">
        <f>_xlfn.IFNA(VLOOKUP(Table2[[#This Row],[Name]],'Classic day 1 - players'!$A$2:$B$64,2,FALSE),"")</f>
        <v/>
      </c>
      <c r="E222" s="33" t="str">
        <f>IF(Table2[[#This Row],[Tee time1]]&lt;&gt;"",COUNTIF('Classic day 1 - players'!$B$2:$B$64,"="&amp;Table2[[#This Row],[Tee time1]]),"")</f>
        <v/>
      </c>
      <c r="F222" s="4" t="str">
        <f>_xlfn.IFNA(VLOOKUP(Table2[[#This Row],[Tee time1]],'Classic day 1 - groups'!$A$3:$F$20,6,FALSE),"")</f>
        <v/>
      </c>
      <c r="G222" s="11" t="str">
        <f>_xlfn.IFNA(VLOOKUP(Table2[[#This Row],[Tee time1]],'Classic day 1 - groups'!$A$3:$F$20,4,FALSE),"")</f>
        <v/>
      </c>
      <c r="H222" s="12" t="str">
        <f>_xlfn.IFNA(VLOOKUP(Table2[[#This Row],[Tee time1]],'Classic day 1 - groups'!$A$3:$F$20,5,FALSE),"")</f>
        <v/>
      </c>
      <c r="I222" s="69" t="str">
        <f>IFERROR((MAX(starting_interval,IF(Table2[[#This Row],[gap1]]="NA",Table2[[#This Row],[avg gap]],Table2[[#This Row],[gap1]]))-starting_interval)*Table2[[#This Row],[followers1]]/Table2[[#This Row],[group size]],"")</f>
        <v/>
      </c>
      <c r="J222" s="32" t="str">
        <f>_xlfn.IFNA(VLOOKUP(Table2[[#This Row],[Name]],'Classic day 2 - players'!$A$2:$B$64,2,FALSE),"")</f>
        <v/>
      </c>
      <c r="K222" s="4" t="str">
        <f>IF(Table2[[#This Row],[tee time2]]&lt;&gt;"",COUNTIF('Classic day 2 - players'!$B$2:$B$64,"="&amp;Table2[[#This Row],[tee time2]]),"")</f>
        <v/>
      </c>
      <c r="L222" s="4" t="str">
        <f>_xlfn.IFNA(VLOOKUP(Table2[[#This Row],[tee time2]],'Classic day 2 - groups'!$A$3:$F$20,6,FALSE),"")</f>
        <v/>
      </c>
      <c r="M222" s="4" t="str">
        <f>_xlfn.IFNA(VLOOKUP(Table2[[#This Row],[tee time2]],'Classic day 2 - groups'!$A$3:$F$20,4,FALSE),"")</f>
        <v/>
      </c>
      <c r="N222" s="65" t="str">
        <f>_xlfn.IFNA(VLOOKUP(Table2[[#This Row],[tee time2]],'Classic day 2 - groups'!$A$3:$F$20,5,FALSE),"")</f>
        <v/>
      </c>
      <c r="O222" s="69" t="str">
        <f>IFERROR((MAX(starting_interval,IF(Table2[[#This Row],[gap2]]="NA",Table2[[#This Row],[avg gap]],Table2[[#This Row],[gap2]]))-starting_interval)*Table2[[#This Row],[followers2]]/Table2[[#This Row],[group size2]],"")</f>
        <v/>
      </c>
      <c r="P222" s="32" t="str">
        <f>_xlfn.IFNA(VLOOKUP(Table2[[#This Row],[Name]],'Summer FD - players'!$A$2:$B$65,2,FALSE),"")</f>
        <v/>
      </c>
      <c r="Q222" s="59" t="str">
        <f>IF(Table2[[#This Row],[tee time3]]&lt;&gt;"",COUNTIF('Summer FD - players'!$B$2:$B$65,"="&amp;Table2[[#This Row],[tee time3]]),"")</f>
        <v/>
      </c>
      <c r="R222" s="59" t="str">
        <f>_xlfn.IFNA(VLOOKUP(Table2[[#This Row],[tee time3]],'Summer FD - groups'!$A$3:$F$20,6,FALSE),"")</f>
        <v/>
      </c>
      <c r="S222" s="4" t="str">
        <f>_xlfn.IFNA(VLOOKUP(Table2[[#This Row],[tee time3]],'Summer FD - groups'!$A$3:$F$20,4,FALSE),"")</f>
        <v/>
      </c>
      <c r="T222" s="13" t="str">
        <f>_xlfn.IFNA(VLOOKUP(Table2[[#This Row],[tee time3]],'Summer FD - groups'!$A$3:$F$20,5,FALSE),"")</f>
        <v/>
      </c>
      <c r="U222" s="69" t="str">
        <f>IF(Table2[[#This Row],[avg gap]]&lt;&gt;"",IFERROR((MAX(starting_interval,IF(Table2[[#This Row],[gap3]]="NA",Table2[[#This Row],[avg gap]],Table2[[#This Row],[gap3]]))-starting_interval)*Table2[[#This Row],[followers3]]/Table2[[#This Row],[group size3]],""),"")</f>
        <v/>
      </c>
      <c r="V222" s="32" t="str">
        <f>_xlfn.IFNA(VLOOKUP(Table2[[#This Row],[Name]],'6-6-6 - players'!$A$2:$B$69,2,FALSE),"")</f>
        <v/>
      </c>
      <c r="W222" s="59" t="str">
        <f>IF(Table2[[#This Row],[tee time4]]&lt;&gt;"",COUNTIF('6-6-6 - players'!$B$2:$B$69,"="&amp;Table2[[#This Row],[tee time4]]),"")</f>
        <v/>
      </c>
      <c r="X222" s="59" t="str">
        <f>_xlfn.IFNA(VLOOKUP(Table2[[#This Row],[tee time4]],'6-6-6 - groups'!$A$3:$F$20,6,FALSE),"")</f>
        <v/>
      </c>
      <c r="Y222" s="4" t="str">
        <f>_xlfn.IFNA(VLOOKUP(Table2[[#This Row],[tee time4]],'6-6-6 - groups'!$A$3:$F$20,4,FALSE),"")</f>
        <v/>
      </c>
      <c r="Z222" s="13" t="str">
        <f>_xlfn.IFNA(VLOOKUP(Table2[[#This Row],[tee time4]],'6-6-6 - groups'!$A$3:$F$20,5,FALSE),"")</f>
        <v/>
      </c>
      <c r="AA222" s="69" t="str">
        <f>IF(Table2[[#This Row],[avg gap]]&lt;&gt;"",IFERROR((MAX(starting_interval,IF(Table2[[#This Row],[gap4]]="NA",Table2[[#This Row],[avg gap]],Table2[[#This Row],[gap4]]))-starting_interval)*Table2[[#This Row],[followers4]]/Table2[[#This Row],[group size4]],""),"")</f>
        <v/>
      </c>
      <c r="AB222" s="32" t="str">
        <f>_xlfn.IFNA(VLOOKUP(Table2[[#This Row],[Name]],'Fall FD - players'!$A$2:$B$65,2,FALSE),"")</f>
        <v/>
      </c>
      <c r="AC222" s="59" t="str">
        <f>IF(Table2[[#This Row],[tee time5]]&lt;&gt;"",COUNTIF('Fall FD - players'!$B$2:$B$65,"="&amp;Table2[[#This Row],[tee time5]]),"")</f>
        <v/>
      </c>
      <c r="AD222" s="59" t="str">
        <f>_xlfn.IFNA(VLOOKUP(Table2[[#This Row],[tee time5]],'Fall FD - groups'!$A$3:$F$20,6,FALSE),"")</f>
        <v/>
      </c>
      <c r="AE222" s="4" t="str">
        <f>_xlfn.IFNA(VLOOKUP(Table2[[#This Row],[tee time5]],'Fall FD - groups'!$A$3:$F$20,4,FALSE),"")</f>
        <v/>
      </c>
      <c r="AF222" s="13" t="str">
        <f>IFERROR(MIN(_xlfn.IFNA(VLOOKUP(Table2[[#This Row],[tee time5]],'Fall FD - groups'!$A$3:$F$20,5,FALSE),""),starting_interval + Table2[[#This Row],[round5]] - standard_round_time),"")</f>
        <v/>
      </c>
      <c r="AG222" s="69" t="str">
        <f>IF(AND(Table2[[#This Row],[gap5]]="NA",Table2[[#This Row],[round5]]&lt;4/24),0,IFERROR((MAX(starting_interval,IF(Table2[[#This Row],[gap5]]="NA",Table2[[#This Row],[avg gap]],Table2[[#This Row],[gap5]]))-starting_interval)*Table2[[#This Row],[followers5]]/Table2[[#This Row],[group size5]],""))</f>
        <v/>
      </c>
      <c r="AH222" s="32" t="str">
        <f>_xlfn.IFNA(VLOOKUP(Table2[[#This Row],[Name]],'Stableford - players'!$A$2:$B$65,2,FALSE),"")</f>
        <v/>
      </c>
      <c r="AI222" s="59" t="str">
        <f>IF(Table2[[#This Row],[tee time6]]&lt;&gt;"",COUNTIF('Stableford - players'!$B$2:$B$65,"="&amp;Table2[[#This Row],[tee time6]]),"")</f>
        <v/>
      </c>
      <c r="AJ222" s="59" t="str">
        <f>_xlfn.IFNA(VLOOKUP(Table2[[#This Row],[tee time6]],'Stableford - groups'!$A$3:$F$20,6,FALSE),"")</f>
        <v/>
      </c>
      <c r="AK222" s="11" t="str">
        <f>_xlfn.IFNA(VLOOKUP(Table2[[#This Row],[tee time6]],'Stableford - groups'!$A$3:$F$20,4,FALSE),"")</f>
        <v/>
      </c>
      <c r="AL222" s="13" t="str">
        <f>_xlfn.IFNA(VLOOKUP(Table2[[#This Row],[tee time6]],'Stableford - groups'!$A$3:$F$20,5,FALSE),"")</f>
        <v/>
      </c>
      <c r="AM222" s="68" t="str">
        <f>IF(AND(Table2[[#This Row],[gap6]]="NA",Table2[[#This Row],[round6]]&lt;4/24),0,IFERROR((MAX(starting_interval,IF(Table2[[#This Row],[gap6]]="NA",Table2[[#This Row],[avg gap]],Table2[[#This Row],[gap6]]))-starting_interval)*Table2[[#This Row],[followers6]]/Table2[[#This Row],[group size6]],""))</f>
        <v/>
      </c>
      <c r="AN222" s="32" t="str">
        <f>_xlfn.IFNA(VLOOKUP(Table2[[#This Row],[Name]],'Turkey Shoot - players'!$A$2:$B$65,2,FALSE),"")</f>
        <v/>
      </c>
      <c r="AO222" s="59" t="str">
        <f>IF(Table2[[#This Row],[tee time7]]&lt;&gt;"",COUNTIF('Turkey Shoot - players'!$B$2:$B$65,"="&amp;Table2[[#This Row],[tee time7]]),"")</f>
        <v/>
      </c>
      <c r="AP222" s="59" t="str">
        <f>_xlfn.IFNA(VLOOKUP(Table2[[#This Row],[tee time7]],'Stableford - groups'!$A$3:$F$20,6,FALSE),"")</f>
        <v/>
      </c>
      <c r="AQ222" s="11" t="str">
        <f>_xlfn.IFNA(VLOOKUP(Table2[[#This Row],[tee time7]],'Turkey Shoot - groups'!$A$3:$F$20,4,FALSE),"")</f>
        <v/>
      </c>
      <c r="AR222" s="13" t="str">
        <f>_xlfn.IFNA(VLOOKUP(Table2[[#This Row],[tee time7]],'Turkey Shoot - groups'!$A$3:$F$20,5,FALSE),"")</f>
        <v/>
      </c>
      <c r="AS222" s="68" t="str">
        <f>IF(AND(Table2[[#This Row],[gap7]]="NA",Table2[[#This Row],[round7]]&lt;4/24),0,IFERROR((MAX(starting_interval,IF(Table2[[#This Row],[gap7]]="NA",Table2[[#This Row],[avg gap]],Table2[[#This Row],[gap7]]))-starting_interval)*Table2[[#This Row],[followers7]]/Table2[[#This Row],[group size7]],""))</f>
        <v/>
      </c>
      <c r="AT222" s="72">
        <f>COUNT(Table2[[#This Row],[Tee time1]],Table2[[#This Row],[tee time2]],Table2[[#This Row],[tee time3]],Table2[[#This Row],[tee time4]],Table2[[#This Row],[tee time5]],Table2[[#This Row],[tee time6]],Table2[[#This Row],[tee time7]])</f>
        <v>0</v>
      </c>
      <c r="AU222" s="4" t="str">
        <f>IFERROR(AVERAGE(Table2[[#This Row],[Tee time1]],Table2[[#This Row],[tee time2]],Table2[[#This Row],[tee time3]],Table2[[#This Row],[tee time4]],Table2[[#This Row],[tee time5]],Table2[[#This Row],[tee time6]],Table2[[#This Row],[tee time7]]),"")</f>
        <v/>
      </c>
      <c r="AV222" s="11" t="str">
        <f>IFERROR(MEDIAN(Table2[[#This Row],[round1]],Table2[[#This Row],[Round2]],Table2[[#This Row],[round3]],Table2[[#This Row],[round4]],Table2[[#This Row],[round5]],Table2[[#This Row],[round6]],Table2[[#This Row],[round7]]),"")</f>
        <v/>
      </c>
      <c r="AW222" s="11" t="str">
        <f>IFERROR(AVERAGE(Table2[[#This Row],[gap1]],Table2[[#This Row],[gap2]],Table2[[#This Row],[gap3]],Table2[[#This Row],[gap4]],Table2[[#This Row],[gap5]],Table2[[#This Row],[gap6]],Table2[[#This Row],[gap7]]),"")</f>
        <v/>
      </c>
      <c r="AX222" s="9" t="str">
        <f>IFERROR((Table2[[#This Row],[avg gap]]-starting_interval)*24*60*Table2[[#This Row],[Count]],"NA")</f>
        <v>NA</v>
      </c>
      <c r="AY222"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22" s="2"/>
    </row>
    <row r="223" spans="1:52" hidden="1" x14ac:dyDescent="0.3">
      <c r="A223" s="10" t="s">
        <v>196</v>
      </c>
      <c r="B223" s="1" t="s">
        <v>436</v>
      </c>
      <c r="C223" s="19" t="s">
        <v>307</v>
      </c>
      <c r="D223" s="32" t="str">
        <f>_xlfn.IFNA(VLOOKUP(Table2[[#This Row],[Name]],'Classic day 1 - players'!$A$2:$B$64,2,FALSE),"")</f>
        <v/>
      </c>
      <c r="E223" s="33" t="str">
        <f>IF(Table2[[#This Row],[Tee time1]]&lt;&gt;"",COUNTIF('Classic day 1 - players'!$B$2:$B$64,"="&amp;Table2[[#This Row],[Tee time1]]),"")</f>
        <v/>
      </c>
      <c r="F223" s="4" t="str">
        <f>_xlfn.IFNA(VLOOKUP(Table2[[#This Row],[Tee time1]],'Classic day 1 - groups'!$A$3:$F$20,6,FALSE),"")</f>
        <v/>
      </c>
      <c r="G223" s="11" t="str">
        <f>_xlfn.IFNA(VLOOKUP(Table2[[#This Row],[Tee time1]],'Classic day 1 - groups'!$A$3:$F$20,4,FALSE),"")</f>
        <v/>
      </c>
      <c r="H223" s="12" t="str">
        <f>_xlfn.IFNA(VLOOKUP(Table2[[#This Row],[Tee time1]],'Classic day 1 - groups'!$A$3:$F$20,5,FALSE),"")</f>
        <v/>
      </c>
      <c r="I223" s="69" t="str">
        <f>IFERROR((MAX(starting_interval,IF(Table2[[#This Row],[gap1]]="NA",Table2[[#This Row],[avg gap]],Table2[[#This Row],[gap1]]))-starting_interval)*Table2[[#This Row],[followers1]]/Table2[[#This Row],[group size]],"")</f>
        <v/>
      </c>
      <c r="J223" s="32" t="str">
        <f>_xlfn.IFNA(VLOOKUP(Table2[[#This Row],[Name]],'Classic day 2 - players'!$A$2:$B$64,2,FALSE),"")</f>
        <v/>
      </c>
      <c r="K223" s="4" t="str">
        <f>IF(Table2[[#This Row],[tee time2]]&lt;&gt;"",COUNTIF('Classic day 2 - players'!$B$2:$B$64,"="&amp;Table2[[#This Row],[tee time2]]),"")</f>
        <v/>
      </c>
      <c r="L223" s="4" t="str">
        <f>_xlfn.IFNA(VLOOKUP(Table2[[#This Row],[tee time2]],'Classic day 2 - groups'!$A$3:$F$20,6,FALSE),"")</f>
        <v/>
      </c>
      <c r="M223" s="4" t="str">
        <f>_xlfn.IFNA(VLOOKUP(Table2[[#This Row],[tee time2]],'Classic day 2 - groups'!$A$3:$F$20,4,FALSE),"")</f>
        <v/>
      </c>
      <c r="N223" s="65" t="str">
        <f>_xlfn.IFNA(VLOOKUP(Table2[[#This Row],[tee time2]],'Classic day 2 - groups'!$A$3:$F$20,5,FALSE),"")</f>
        <v/>
      </c>
      <c r="O223" s="69" t="str">
        <f>IFERROR((MAX(starting_interval,IF(Table2[[#This Row],[gap2]]="NA",Table2[[#This Row],[avg gap]],Table2[[#This Row],[gap2]]))-starting_interval)*Table2[[#This Row],[followers2]]/Table2[[#This Row],[group size2]],"")</f>
        <v/>
      </c>
      <c r="P223" s="32" t="str">
        <f>_xlfn.IFNA(VLOOKUP(Table2[[#This Row],[Name]],'Summer FD - players'!$A$2:$B$65,2,FALSE),"")</f>
        <v/>
      </c>
      <c r="Q223" s="59" t="str">
        <f>IF(Table2[[#This Row],[tee time3]]&lt;&gt;"",COUNTIF('Summer FD - players'!$B$2:$B$65,"="&amp;Table2[[#This Row],[tee time3]]),"")</f>
        <v/>
      </c>
      <c r="R223" s="59" t="str">
        <f>_xlfn.IFNA(VLOOKUP(Table2[[#This Row],[tee time3]],'Summer FD - groups'!$A$3:$F$20,6,FALSE),"")</f>
        <v/>
      </c>
      <c r="S223" s="4" t="str">
        <f>_xlfn.IFNA(VLOOKUP(Table2[[#This Row],[tee time3]],'Summer FD - groups'!$A$3:$F$20,4,FALSE),"")</f>
        <v/>
      </c>
      <c r="T223" s="13" t="str">
        <f>_xlfn.IFNA(VLOOKUP(Table2[[#This Row],[tee time3]],'Summer FD - groups'!$A$3:$F$20,5,FALSE),"")</f>
        <v/>
      </c>
      <c r="U223" s="69" t="str">
        <f>IF(Table2[[#This Row],[avg gap]]&lt;&gt;"",IFERROR((MAX(starting_interval,IF(Table2[[#This Row],[gap3]]="NA",Table2[[#This Row],[avg gap]],Table2[[#This Row],[gap3]]))-starting_interval)*Table2[[#This Row],[followers3]]/Table2[[#This Row],[group size3]],""),"")</f>
        <v/>
      </c>
      <c r="V223" s="32" t="str">
        <f>_xlfn.IFNA(VLOOKUP(Table2[[#This Row],[Name]],'6-6-6 - players'!$A$2:$B$69,2,FALSE),"")</f>
        <v/>
      </c>
      <c r="W223" s="59" t="str">
        <f>IF(Table2[[#This Row],[tee time4]]&lt;&gt;"",COUNTIF('6-6-6 - players'!$B$2:$B$69,"="&amp;Table2[[#This Row],[tee time4]]),"")</f>
        <v/>
      </c>
      <c r="X223" s="59" t="str">
        <f>_xlfn.IFNA(VLOOKUP(Table2[[#This Row],[tee time4]],'6-6-6 - groups'!$A$3:$F$20,6,FALSE),"")</f>
        <v/>
      </c>
      <c r="Y223" s="4" t="str">
        <f>_xlfn.IFNA(VLOOKUP(Table2[[#This Row],[tee time4]],'6-6-6 - groups'!$A$3:$F$20,4,FALSE),"")</f>
        <v/>
      </c>
      <c r="Z223" s="13" t="str">
        <f>_xlfn.IFNA(VLOOKUP(Table2[[#This Row],[tee time4]],'6-6-6 - groups'!$A$3:$F$20,5,FALSE),"")</f>
        <v/>
      </c>
      <c r="AA223" s="69" t="str">
        <f>IF(Table2[[#This Row],[avg gap]]&lt;&gt;"",IFERROR((MAX(starting_interval,IF(Table2[[#This Row],[gap4]]="NA",Table2[[#This Row],[avg gap]],Table2[[#This Row],[gap4]]))-starting_interval)*Table2[[#This Row],[followers4]]/Table2[[#This Row],[group size4]],""),"")</f>
        <v/>
      </c>
      <c r="AB223" s="32" t="str">
        <f>_xlfn.IFNA(VLOOKUP(Table2[[#This Row],[Name]],'Fall FD - players'!$A$2:$B$65,2,FALSE),"")</f>
        <v/>
      </c>
      <c r="AC223" s="59" t="str">
        <f>IF(Table2[[#This Row],[tee time5]]&lt;&gt;"",COUNTIF('Fall FD - players'!$B$2:$B$65,"="&amp;Table2[[#This Row],[tee time5]]),"")</f>
        <v/>
      </c>
      <c r="AD223" s="59" t="str">
        <f>_xlfn.IFNA(VLOOKUP(Table2[[#This Row],[tee time5]],'Fall FD - groups'!$A$3:$F$20,6,FALSE),"")</f>
        <v/>
      </c>
      <c r="AE223" s="4" t="str">
        <f>_xlfn.IFNA(VLOOKUP(Table2[[#This Row],[tee time5]],'Fall FD - groups'!$A$3:$F$20,4,FALSE),"")</f>
        <v/>
      </c>
      <c r="AF223" s="13" t="str">
        <f>IFERROR(MIN(_xlfn.IFNA(VLOOKUP(Table2[[#This Row],[tee time5]],'Fall FD - groups'!$A$3:$F$20,5,FALSE),""),starting_interval + Table2[[#This Row],[round5]] - standard_round_time),"")</f>
        <v/>
      </c>
      <c r="AG223" s="69" t="str">
        <f>IF(AND(Table2[[#This Row],[gap5]]="NA",Table2[[#This Row],[round5]]&lt;4/24),0,IFERROR((MAX(starting_interval,IF(Table2[[#This Row],[gap5]]="NA",Table2[[#This Row],[avg gap]],Table2[[#This Row],[gap5]]))-starting_interval)*Table2[[#This Row],[followers5]]/Table2[[#This Row],[group size5]],""))</f>
        <v/>
      </c>
      <c r="AH223" s="32" t="str">
        <f>_xlfn.IFNA(VLOOKUP(Table2[[#This Row],[Name]],'Stableford - players'!$A$2:$B$65,2,FALSE),"")</f>
        <v/>
      </c>
      <c r="AI223" s="59" t="str">
        <f>IF(Table2[[#This Row],[tee time6]]&lt;&gt;"",COUNTIF('Stableford - players'!$B$2:$B$65,"="&amp;Table2[[#This Row],[tee time6]]),"")</f>
        <v/>
      </c>
      <c r="AJ223" s="59" t="str">
        <f>_xlfn.IFNA(VLOOKUP(Table2[[#This Row],[tee time6]],'Stableford - groups'!$A$3:$F$20,6,FALSE),"")</f>
        <v/>
      </c>
      <c r="AK223" s="11" t="str">
        <f>_xlfn.IFNA(VLOOKUP(Table2[[#This Row],[tee time6]],'Stableford - groups'!$A$3:$F$20,4,FALSE),"")</f>
        <v/>
      </c>
      <c r="AL223" s="13" t="str">
        <f>_xlfn.IFNA(VLOOKUP(Table2[[#This Row],[tee time6]],'Stableford - groups'!$A$3:$F$20,5,FALSE),"")</f>
        <v/>
      </c>
      <c r="AM223" s="68" t="str">
        <f>IF(AND(Table2[[#This Row],[gap6]]="NA",Table2[[#This Row],[round6]]&lt;4/24),0,IFERROR((MAX(starting_interval,IF(Table2[[#This Row],[gap6]]="NA",Table2[[#This Row],[avg gap]],Table2[[#This Row],[gap6]]))-starting_interval)*Table2[[#This Row],[followers6]]/Table2[[#This Row],[group size6]],""))</f>
        <v/>
      </c>
      <c r="AN223" s="32" t="str">
        <f>_xlfn.IFNA(VLOOKUP(Table2[[#This Row],[Name]],'Turkey Shoot - players'!$A$2:$B$65,2,FALSE),"")</f>
        <v/>
      </c>
      <c r="AO223" s="59" t="str">
        <f>IF(Table2[[#This Row],[tee time7]]&lt;&gt;"",COUNTIF('Turkey Shoot - players'!$B$2:$B$65,"="&amp;Table2[[#This Row],[tee time7]]),"")</f>
        <v/>
      </c>
      <c r="AP223" s="59" t="str">
        <f>_xlfn.IFNA(VLOOKUP(Table2[[#This Row],[tee time7]],'Stableford - groups'!$A$3:$F$20,6,FALSE),"")</f>
        <v/>
      </c>
      <c r="AQ223" s="11" t="str">
        <f>_xlfn.IFNA(VLOOKUP(Table2[[#This Row],[tee time7]],'Turkey Shoot - groups'!$A$3:$F$20,4,FALSE),"")</f>
        <v/>
      </c>
      <c r="AR223" s="13" t="str">
        <f>_xlfn.IFNA(VLOOKUP(Table2[[#This Row],[tee time7]],'Turkey Shoot - groups'!$A$3:$F$20,5,FALSE),"")</f>
        <v/>
      </c>
      <c r="AS223" s="68" t="str">
        <f>IF(AND(Table2[[#This Row],[gap7]]="NA",Table2[[#This Row],[round7]]&lt;4/24),0,IFERROR((MAX(starting_interval,IF(Table2[[#This Row],[gap7]]="NA",Table2[[#This Row],[avg gap]],Table2[[#This Row],[gap7]]))-starting_interval)*Table2[[#This Row],[followers7]]/Table2[[#This Row],[group size7]],""))</f>
        <v/>
      </c>
      <c r="AT223" s="72">
        <f>COUNT(Table2[[#This Row],[Tee time1]],Table2[[#This Row],[tee time2]],Table2[[#This Row],[tee time3]],Table2[[#This Row],[tee time4]],Table2[[#This Row],[tee time5]],Table2[[#This Row],[tee time6]],Table2[[#This Row],[tee time7]])</f>
        <v>0</v>
      </c>
      <c r="AU223" s="4" t="str">
        <f>IFERROR(AVERAGE(Table2[[#This Row],[Tee time1]],Table2[[#This Row],[tee time2]],Table2[[#This Row],[tee time3]],Table2[[#This Row],[tee time4]],Table2[[#This Row],[tee time5]],Table2[[#This Row],[tee time6]],Table2[[#This Row],[tee time7]]),"")</f>
        <v/>
      </c>
      <c r="AV223" s="11" t="str">
        <f>IFERROR(MEDIAN(Table2[[#This Row],[round1]],Table2[[#This Row],[Round2]],Table2[[#This Row],[round3]],Table2[[#This Row],[round4]],Table2[[#This Row],[round5]],Table2[[#This Row],[round6]],Table2[[#This Row],[round7]]),"")</f>
        <v/>
      </c>
      <c r="AW223" s="11" t="str">
        <f>IFERROR(AVERAGE(Table2[[#This Row],[gap1]],Table2[[#This Row],[gap2]],Table2[[#This Row],[gap3]],Table2[[#This Row],[gap4]],Table2[[#This Row],[gap5]],Table2[[#This Row],[gap6]],Table2[[#This Row],[gap7]]),"")</f>
        <v/>
      </c>
      <c r="AX223" s="9" t="str">
        <f>IFERROR((Table2[[#This Row],[avg gap]]-starting_interval)*24*60*Table2[[#This Row],[Count]],"NA")</f>
        <v>NA</v>
      </c>
      <c r="AY223"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23" s="2"/>
    </row>
    <row r="224" spans="1:52" hidden="1" x14ac:dyDescent="0.3">
      <c r="A224" s="10" t="s">
        <v>198</v>
      </c>
      <c r="B224" s="1" t="s">
        <v>438</v>
      </c>
      <c r="C224" s="19">
        <v>11.3</v>
      </c>
      <c r="D224" s="32" t="str">
        <f>_xlfn.IFNA(VLOOKUP(Table2[[#This Row],[Name]],'Classic day 1 - players'!$A$2:$B$64,2,FALSE),"")</f>
        <v/>
      </c>
      <c r="E224" s="33" t="str">
        <f>IF(Table2[[#This Row],[Tee time1]]&lt;&gt;"",COUNTIF('Classic day 1 - players'!$B$2:$B$64,"="&amp;Table2[[#This Row],[Tee time1]]),"")</f>
        <v/>
      </c>
      <c r="F224" s="4" t="str">
        <f>_xlfn.IFNA(VLOOKUP(Table2[[#This Row],[Tee time1]],'Classic day 1 - groups'!$A$3:$F$20,6,FALSE),"")</f>
        <v/>
      </c>
      <c r="G224" s="11" t="str">
        <f>_xlfn.IFNA(VLOOKUP(Table2[[#This Row],[Tee time1]],'Classic day 1 - groups'!$A$3:$F$20,4,FALSE),"")</f>
        <v/>
      </c>
      <c r="H224" s="12" t="str">
        <f>_xlfn.IFNA(VLOOKUP(Table2[[#This Row],[Tee time1]],'Classic day 1 - groups'!$A$3:$F$20,5,FALSE),"")</f>
        <v/>
      </c>
      <c r="I224" s="69" t="str">
        <f>IFERROR((MAX(starting_interval,IF(Table2[[#This Row],[gap1]]="NA",Table2[[#This Row],[avg gap]],Table2[[#This Row],[gap1]]))-starting_interval)*Table2[[#This Row],[followers1]]/Table2[[#This Row],[group size]],"")</f>
        <v/>
      </c>
      <c r="J224" s="32" t="str">
        <f>_xlfn.IFNA(VLOOKUP(Table2[[#This Row],[Name]],'Classic day 2 - players'!$A$2:$B$64,2,FALSE),"")</f>
        <v/>
      </c>
      <c r="K224" s="4" t="str">
        <f>IF(Table2[[#This Row],[tee time2]]&lt;&gt;"",COUNTIF('Classic day 2 - players'!$B$2:$B$64,"="&amp;Table2[[#This Row],[tee time2]]),"")</f>
        <v/>
      </c>
      <c r="L224" s="4" t="str">
        <f>_xlfn.IFNA(VLOOKUP(Table2[[#This Row],[tee time2]],'Classic day 2 - groups'!$A$3:$F$20,6,FALSE),"")</f>
        <v/>
      </c>
      <c r="M224" s="4" t="str">
        <f>_xlfn.IFNA(VLOOKUP(Table2[[#This Row],[tee time2]],'Classic day 2 - groups'!$A$3:$F$20,4,FALSE),"")</f>
        <v/>
      </c>
      <c r="N224" s="65" t="str">
        <f>_xlfn.IFNA(VLOOKUP(Table2[[#This Row],[tee time2]],'Classic day 2 - groups'!$A$3:$F$20,5,FALSE),"")</f>
        <v/>
      </c>
      <c r="O224" s="69" t="str">
        <f>IFERROR((MAX(starting_interval,IF(Table2[[#This Row],[gap2]]="NA",Table2[[#This Row],[avg gap]],Table2[[#This Row],[gap2]]))-starting_interval)*Table2[[#This Row],[followers2]]/Table2[[#This Row],[group size2]],"")</f>
        <v/>
      </c>
      <c r="P224" s="32" t="str">
        <f>_xlfn.IFNA(VLOOKUP(Table2[[#This Row],[Name]],'Summer FD - players'!$A$2:$B$65,2,FALSE),"")</f>
        <v/>
      </c>
      <c r="Q224" s="59" t="str">
        <f>IF(Table2[[#This Row],[tee time3]]&lt;&gt;"",COUNTIF('Summer FD - players'!$B$2:$B$65,"="&amp;Table2[[#This Row],[tee time3]]),"")</f>
        <v/>
      </c>
      <c r="R224" s="59" t="str">
        <f>_xlfn.IFNA(VLOOKUP(Table2[[#This Row],[tee time3]],'Summer FD - groups'!$A$3:$F$20,6,FALSE),"")</f>
        <v/>
      </c>
      <c r="S224" s="4" t="str">
        <f>_xlfn.IFNA(VLOOKUP(Table2[[#This Row],[tee time3]],'Summer FD - groups'!$A$3:$F$20,4,FALSE),"")</f>
        <v/>
      </c>
      <c r="T224" s="13" t="str">
        <f>_xlfn.IFNA(VLOOKUP(Table2[[#This Row],[tee time3]],'Summer FD - groups'!$A$3:$F$20,5,FALSE),"")</f>
        <v/>
      </c>
      <c r="U224" s="69" t="str">
        <f>IF(Table2[[#This Row],[avg gap]]&lt;&gt;"",IFERROR((MAX(starting_interval,IF(Table2[[#This Row],[gap3]]="NA",Table2[[#This Row],[avg gap]],Table2[[#This Row],[gap3]]))-starting_interval)*Table2[[#This Row],[followers3]]/Table2[[#This Row],[group size3]],""),"")</f>
        <v/>
      </c>
      <c r="V224" s="32" t="str">
        <f>_xlfn.IFNA(VLOOKUP(Table2[[#This Row],[Name]],'6-6-6 - players'!$A$2:$B$69,2,FALSE),"")</f>
        <v/>
      </c>
      <c r="W224" s="59" t="str">
        <f>IF(Table2[[#This Row],[tee time4]]&lt;&gt;"",COUNTIF('6-6-6 - players'!$B$2:$B$69,"="&amp;Table2[[#This Row],[tee time4]]),"")</f>
        <v/>
      </c>
      <c r="X224" s="59" t="str">
        <f>_xlfn.IFNA(VLOOKUP(Table2[[#This Row],[tee time4]],'6-6-6 - groups'!$A$3:$F$20,6,FALSE),"")</f>
        <v/>
      </c>
      <c r="Y224" s="4" t="str">
        <f>_xlfn.IFNA(VLOOKUP(Table2[[#This Row],[tee time4]],'6-6-6 - groups'!$A$3:$F$20,4,FALSE),"")</f>
        <v/>
      </c>
      <c r="Z224" s="13" t="str">
        <f>_xlfn.IFNA(VLOOKUP(Table2[[#This Row],[tee time4]],'6-6-6 - groups'!$A$3:$F$20,5,FALSE),"")</f>
        <v/>
      </c>
      <c r="AA224" s="69" t="str">
        <f>IF(Table2[[#This Row],[avg gap]]&lt;&gt;"",IFERROR((MAX(starting_interval,IF(Table2[[#This Row],[gap4]]="NA",Table2[[#This Row],[avg gap]],Table2[[#This Row],[gap4]]))-starting_interval)*Table2[[#This Row],[followers4]]/Table2[[#This Row],[group size4]],""),"")</f>
        <v/>
      </c>
      <c r="AB224" s="32" t="str">
        <f>_xlfn.IFNA(VLOOKUP(Table2[[#This Row],[Name]],'Fall FD - players'!$A$2:$B$65,2,FALSE),"")</f>
        <v/>
      </c>
      <c r="AC224" s="59" t="str">
        <f>IF(Table2[[#This Row],[tee time5]]&lt;&gt;"",COUNTIF('Fall FD - players'!$B$2:$B$65,"="&amp;Table2[[#This Row],[tee time5]]),"")</f>
        <v/>
      </c>
      <c r="AD224" s="59" t="str">
        <f>_xlfn.IFNA(VLOOKUP(Table2[[#This Row],[tee time5]],'Fall FD - groups'!$A$3:$F$20,6,FALSE),"")</f>
        <v/>
      </c>
      <c r="AE224" s="4" t="str">
        <f>_xlfn.IFNA(VLOOKUP(Table2[[#This Row],[tee time5]],'Fall FD - groups'!$A$3:$F$20,4,FALSE),"")</f>
        <v/>
      </c>
      <c r="AF224" s="13" t="str">
        <f>IFERROR(MIN(_xlfn.IFNA(VLOOKUP(Table2[[#This Row],[tee time5]],'Fall FD - groups'!$A$3:$F$20,5,FALSE),""),starting_interval + Table2[[#This Row],[round5]] - standard_round_time),"")</f>
        <v/>
      </c>
      <c r="AG224" s="69" t="str">
        <f>IF(AND(Table2[[#This Row],[gap5]]="NA",Table2[[#This Row],[round5]]&lt;4/24),0,IFERROR((MAX(starting_interval,IF(Table2[[#This Row],[gap5]]="NA",Table2[[#This Row],[avg gap]],Table2[[#This Row],[gap5]]))-starting_interval)*Table2[[#This Row],[followers5]]/Table2[[#This Row],[group size5]],""))</f>
        <v/>
      </c>
      <c r="AH224" s="32" t="str">
        <f>_xlfn.IFNA(VLOOKUP(Table2[[#This Row],[Name]],'Stableford - players'!$A$2:$B$65,2,FALSE),"")</f>
        <v/>
      </c>
      <c r="AI224" s="59" t="str">
        <f>IF(Table2[[#This Row],[tee time6]]&lt;&gt;"",COUNTIF('Stableford - players'!$B$2:$B$65,"="&amp;Table2[[#This Row],[tee time6]]),"")</f>
        <v/>
      </c>
      <c r="AJ224" s="59" t="str">
        <f>_xlfn.IFNA(VLOOKUP(Table2[[#This Row],[tee time6]],'Stableford - groups'!$A$3:$F$20,6,FALSE),"")</f>
        <v/>
      </c>
      <c r="AK224" s="11" t="str">
        <f>_xlfn.IFNA(VLOOKUP(Table2[[#This Row],[tee time6]],'Stableford - groups'!$A$3:$F$20,4,FALSE),"")</f>
        <v/>
      </c>
      <c r="AL224" s="13" t="str">
        <f>_xlfn.IFNA(VLOOKUP(Table2[[#This Row],[tee time6]],'Stableford - groups'!$A$3:$F$20,5,FALSE),"")</f>
        <v/>
      </c>
      <c r="AM224" s="68" t="str">
        <f>IF(AND(Table2[[#This Row],[gap6]]="NA",Table2[[#This Row],[round6]]&lt;4/24),0,IFERROR((MAX(starting_interval,IF(Table2[[#This Row],[gap6]]="NA",Table2[[#This Row],[avg gap]],Table2[[#This Row],[gap6]]))-starting_interval)*Table2[[#This Row],[followers6]]/Table2[[#This Row],[group size6]],""))</f>
        <v/>
      </c>
      <c r="AN224" s="32" t="str">
        <f>_xlfn.IFNA(VLOOKUP(Table2[[#This Row],[Name]],'Turkey Shoot - players'!$A$2:$B$65,2,FALSE),"")</f>
        <v/>
      </c>
      <c r="AO224" s="59" t="str">
        <f>IF(Table2[[#This Row],[tee time7]]&lt;&gt;"",COUNTIF('Turkey Shoot - players'!$B$2:$B$65,"="&amp;Table2[[#This Row],[tee time7]]),"")</f>
        <v/>
      </c>
      <c r="AP224" s="59" t="str">
        <f>_xlfn.IFNA(VLOOKUP(Table2[[#This Row],[tee time7]],'Stableford - groups'!$A$3:$F$20,6,FALSE),"")</f>
        <v/>
      </c>
      <c r="AQ224" s="11" t="str">
        <f>_xlfn.IFNA(VLOOKUP(Table2[[#This Row],[tee time7]],'Turkey Shoot - groups'!$A$3:$F$20,4,FALSE),"")</f>
        <v/>
      </c>
      <c r="AR224" s="13" t="str">
        <f>_xlfn.IFNA(VLOOKUP(Table2[[#This Row],[tee time7]],'Turkey Shoot - groups'!$A$3:$F$20,5,FALSE),"")</f>
        <v/>
      </c>
      <c r="AS224" s="68" t="str">
        <f>IF(AND(Table2[[#This Row],[gap7]]="NA",Table2[[#This Row],[round7]]&lt;4/24),0,IFERROR((MAX(starting_interval,IF(Table2[[#This Row],[gap7]]="NA",Table2[[#This Row],[avg gap]],Table2[[#This Row],[gap7]]))-starting_interval)*Table2[[#This Row],[followers7]]/Table2[[#This Row],[group size7]],""))</f>
        <v/>
      </c>
      <c r="AT224" s="72">
        <f>COUNT(Table2[[#This Row],[Tee time1]],Table2[[#This Row],[tee time2]],Table2[[#This Row],[tee time3]],Table2[[#This Row],[tee time4]],Table2[[#This Row],[tee time5]],Table2[[#This Row],[tee time6]],Table2[[#This Row],[tee time7]])</f>
        <v>0</v>
      </c>
      <c r="AU224" s="4" t="str">
        <f>IFERROR(AVERAGE(Table2[[#This Row],[Tee time1]],Table2[[#This Row],[tee time2]],Table2[[#This Row],[tee time3]],Table2[[#This Row],[tee time4]],Table2[[#This Row],[tee time5]],Table2[[#This Row],[tee time6]],Table2[[#This Row],[tee time7]]),"")</f>
        <v/>
      </c>
      <c r="AV224" s="11" t="str">
        <f>IFERROR(MEDIAN(Table2[[#This Row],[round1]],Table2[[#This Row],[Round2]],Table2[[#This Row],[round3]],Table2[[#This Row],[round4]],Table2[[#This Row],[round5]],Table2[[#This Row],[round6]],Table2[[#This Row],[round7]]),"")</f>
        <v/>
      </c>
      <c r="AW224" s="11" t="str">
        <f>IFERROR(AVERAGE(Table2[[#This Row],[gap1]],Table2[[#This Row],[gap2]],Table2[[#This Row],[gap3]],Table2[[#This Row],[gap4]],Table2[[#This Row],[gap5]],Table2[[#This Row],[gap6]],Table2[[#This Row],[gap7]]),"")</f>
        <v/>
      </c>
      <c r="AX224" s="9" t="str">
        <f>IFERROR((Table2[[#This Row],[avg gap]]-starting_interval)*24*60*Table2[[#This Row],[Count]],"NA")</f>
        <v>NA</v>
      </c>
      <c r="AY224"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24" s="2"/>
    </row>
    <row r="225" spans="1:52" hidden="1" x14ac:dyDescent="0.3">
      <c r="A225" s="10" t="s">
        <v>216</v>
      </c>
      <c r="B225" s="1" t="s">
        <v>439</v>
      </c>
      <c r="C225" s="19">
        <v>15.8</v>
      </c>
      <c r="D225" s="32" t="str">
        <f>_xlfn.IFNA(VLOOKUP(Table2[[#This Row],[Name]],'Classic day 1 - players'!$A$2:$B$64,2,FALSE),"")</f>
        <v/>
      </c>
      <c r="E225" s="33" t="str">
        <f>IF(Table2[[#This Row],[Tee time1]]&lt;&gt;"",COUNTIF('Classic day 1 - players'!$B$2:$B$64,"="&amp;Table2[[#This Row],[Tee time1]]),"")</f>
        <v/>
      </c>
      <c r="F225" s="4" t="str">
        <f>_xlfn.IFNA(VLOOKUP(Table2[[#This Row],[Tee time1]],'Classic day 1 - groups'!$A$3:$F$20,6,FALSE),"")</f>
        <v/>
      </c>
      <c r="G225" s="11" t="str">
        <f>_xlfn.IFNA(VLOOKUP(Table2[[#This Row],[Tee time1]],'Classic day 1 - groups'!$A$3:$F$20,4,FALSE),"")</f>
        <v/>
      </c>
      <c r="H225" s="12" t="str">
        <f>_xlfn.IFNA(VLOOKUP(Table2[[#This Row],[Tee time1]],'Classic day 1 - groups'!$A$3:$F$20,5,FALSE),"")</f>
        <v/>
      </c>
      <c r="I225" s="69" t="str">
        <f>IFERROR((MAX(starting_interval,IF(Table2[[#This Row],[gap1]]="NA",Table2[[#This Row],[avg gap]],Table2[[#This Row],[gap1]]))-starting_interval)*Table2[[#This Row],[followers1]]/Table2[[#This Row],[group size]],"")</f>
        <v/>
      </c>
      <c r="J225" s="32" t="str">
        <f>_xlfn.IFNA(VLOOKUP(Table2[[#This Row],[Name]],'Classic day 2 - players'!$A$2:$B$64,2,FALSE),"")</f>
        <v/>
      </c>
      <c r="K225" s="4" t="str">
        <f>IF(Table2[[#This Row],[tee time2]]&lt;&gt;"",COUNTIF('Classic day 2 - players'!$B$2:$B$64,"="&amp;Table2[[#This Row],[tee time2]]),"")</f>
        <v/>
      </c>
      <c r="L225" s="4" t="str">
        <f>_xlfn.IFNA(VLOOKUP(Table2[[#This Row],[tee time2]],'Classic day 2 - groups'!$A$3:$F$20,6,FALSE),"")</f>
        <v/>
      </c>
      <c r="M225" s="4" t="str">
        <f>_xlfn.IFNA(VLOOKUP(Table2[[#This Row],[tee time2]],'Classic day 2 - groups'!$A$3:$F$20,4,FALSE),"")</f>
        <v/>
      </c>
      <c r="N225" s="65" t="str">
        <f>_xlfn.IFNA(VLOOKUP(Table2[[#This Row],[tee time2]],'Classic day 2 - groups'!$A$3:$F$20,5,FALSE),"")</f>
        <v/>
      </c>
      <c r="O225" s="69" t="str">
        <f>IFERROR((MAX(starting_interval,IF(Table2[[#This Row],[gap2]]="NA",Table2[[#This Row],[avg gap]],Table2[[#This Row],[gap2]]))-starting_interval)*Table2[[#This Row],[followers2]]/Table2[[#This Row],[group size2]],"")</f>
        <v/>
      </c>
      <c r="P225" s="32" t="str">
        <f>_xlfn.IFNA(VLOOKUP(Table2[[#This Row],[Name]],'Summer FD - players'!$A$2:$B$65,2,FALSE),"")</f>
        <v/>
      </c>
      <c r="Q225" s="59" t="str">
        <f>IF(Table2[[#This Row],[tee time3]]&lt;&gt;"",COUNTIF('Summer FD - players'!$B$2:$B$65,"="&amp;Table2[[#This Row],[tee time3]]),"")</f>
        <v/>
      </c>
      <c r="R225" s="59" t="str">
        <f>_xlfn.IFNA(VLOOKUP(Table2[[#This Row],[tee time3]],'Summer FD - groups'!$A$3:$F$20,6,FALSE),"")</f>
        <v/>
      </c>
      <c r="S225" s="4" t="str">
        <f>_xlfn.IFNA(VLOOKUP(Table2[[#This Row],[tee time3]],'Summer FD - groups'!$A$3:$F$20,4,FALSE),"")</f>
        <v/>
      </c>
      <c r="T225" s="13" t="str">
        <f>_xlfn.IFNA(VLOOKUP(Table2[[#This Row],[tee time3]],'Summer FD - groups'!$A$3:$F$20,5,FALSE),"")</f>
        <v/>
      </c>
      <c r="U225" s="69" t="str">
        <f>IF(Table2[[#This Row],[avg gap]]&lt;&gt;"",IFERROR((MAX(starting_interval,IF(Table2[[#This Row],[gap3]]="NA",Table2[[#This Row],[avg gap]],Table2[[#This Row],[gap3]]))-starting_interval)*Table2[[#This Row],[followers3]]/Table2[[#This Row],[group size3]],""),"")</f>
        <v/>
      </c>
      <c r="V225" s="32" t="str">
        <f>_xlfn.IFNA(VLOOKUP(Table2[[#This Row],[Name]],'6-6-6 - players'!$A$2:$B$69,2,FALSE),"")</f>
        <v/>
      </c>
      <c r="W225" s="59" t="str">
        <f>IF(Table2[[#This Row],[tee time4]]&lt;&gt;"",COUNTIF('6-6-6 - players'!$B$2:$B$69,"="&amp;Table2[[#This Row],[tee time4]]),"")</f>
        <v/>
      </c>
      <c r="X225" s="59" t="str">
        <f>_xlfn.IFNA(VLOOKUP(Table2[[#This Row],[tee time4]],'6-6-6 - groups'!$A$3:$F$20,6,FALSE),"")</f>
        <v/>
      </c>
      <c r="Y225" s="4" t="str">
        <f>_xlfn.IFNA(VLOOKUP(Table2[[#This Row],[tee time4]],'6-6-6 - groups'!$A$3:$F$20,4,FALSE),"")</f>
        <v/>
      </c>
      <c r="Z225" s="13" t="str">
        <f>_xlfn.IFNA(VLOOKUP(Table2[[#This Row],[tee time4]],'6-6-6 - groups'!$A$3:$F$20,5,FALSE),"")</f>
        <v/>
      </c>
      <c r="AA225" s="69" t="str">
        <f>IF(Table2[[#This Row],[avg gap]]&lt;&gt;"",IFERROR((MAX(starting_interval,IF(Table2[[#This Row],[gap4]]="NA",Table2[[#This Row],[avg gap]],Table2[[#This Row],[gap4]]))-starting_interval)*Table2[[#This Row],[followers4]]/Table2[[#This Row],[group size4]],""),"")</f>
        <v/>
      </c>
      <c r="AB225" s="32" t="str">
        <f>_xlfn.IFNA(VLOOKUP(Table2[[#This Row],[Name]],'Fall FD - players'!$A$2:$B$65,2,FALSE),"")</f>
        <v/>
      </c>
      <c r="AC225" s="59" t="str">
        <f>IF(Table2[[#This Row],[tee time5]]&lt;&gt;"",COUNTIF('Fall FD - players'!$B$2:$B$65,"="&amp;Table2[[#This Row],[tee time5]]),"")</f>
        <v/>
      </c>
      <c r="AD225" s="59" t="str">
        <f>_xlfn.IFNA(VLOOKUP(Table2[[#This Row],[tee time5]],'Fall FD - groups'!$A$3:$F$20,6,FALSE),"")</f>
        <v/>
      </c>
      <c r="AE225" s="4" t="str">
        <f>_xlfn.IFNA(VLOOKUP(Table2[[#This Row],[tee time5]],'Fall FD - groups'!$A$3:$F$20,4,FALSE),"")</f>
        <v/>
      </c>
      <c r="AF225" s="13" t="str">
        <f>IFERROR(MIN(_xlfn.IFNA(VLOOKUP(Table2[[#This Row],[tee time5]],'Fall FD - groups'!$A$3:$F$20,5,FALSE),""),starting_interval + Table2[[#This Row],[round5]] - standard_round_time),"")</f>
        <v/>
      </c>
      <c r="AG225" s="69" t="str">
        <f>IF(AND(Table2[[#This Row],[gap5]]="NA",Table2[[#This Row],[round5]]&lt;4/24),0,IFERROR((MAX(starting_interval,IF(Table2[[#This Row],[gap5]]="NA",Table2[[#This Row],[avg gap]],Table2[[#This Row],[gap5]]))-starting_interval)*Table2[[#This Row],[followers5]]/Table2[[#This Row],[group size5]],""))</f>
        <v/>
      </c>
      <c r="AH225" s="32" t="str">
        <f>_xlfn.IFNA(VLOOKUP(Table2[[#This Row],[Name]],'Stableford - players'!$A$2:$B$65,2,FALSE),"")</f>
        <v/>
      </c>
      <c r="AI225" s="59" t="str">
        <f>IF(Table2[[#This Row],[tee time6]]&lt;&gt;"",COUNTIF('Stableford - players'!$B$2:$B$65,"="&amp;Table2[[#This Row],[tee time6]]),"")</f>
        <v/>
      </c>
      <c r="AJ225" s="59" t="str">
        <f>_xlfn.IFNA(VLOOKUP(Table2[[#This Row],[tee time6]],'Stableford - groups'!$A$3:$F$20,6,FALSE),"")</f>
        <v/>
      </c>
      <c r="AK225" s="11" t="str">
        <f>_xlfn.IFNA(VLOOKUP(Table2[[#This Row],[tee time6]],'Stableford - groups'!$A$3:$F$20,4,FALSE),"")</f>
        <v/>
      </c>
      <c r="AL225" s="13" t="str">
        <f>_xlfn.IFNA(VLOOKUP(Table2[[#This Row],[tee time6]],'Stableford - groups'!$A$3:$F$20,5,FALSE),"")</f>
        <v/>
      </c>
      <c r="AM225" s="68" t="str">
        <f>IF(AND(Table2[[#This Row],[gap6]]="NA",Table2[[#This Row],[round6]]&lt;4/24),0,IFERROR((MAX(starting_interval,IF(Table2[[#This Row],[gap6]]="NA",Table2[[#This Row],[avg gap]],Table2[[#This Row],[gap6]]))-starting_interval)*Table2[[#This Row],[followers6]]/Table2[[#This Row],[group size6]],""))</f>
        <v/>
      </c>
      <c r="AN225" s="32" t="str">
        <f>_xlfn.IFNA(VLOOKUP(Table2[[#This Row],[Name]],'Turkey Shoot - players'!$A$2:$B$65,2,FALSE),"")</f>
        <v/>
      </c>
      <c r="AO225" s="59" t="str">
        <f>IF(Table2[[#This Row],[tee time7]]&lt;&gt;"",COUNTIF('Turkey Shoot - players'!$B$2:$B$65,"="&amp;Table2[[#This Row],[tee time7]]),"")</f>
        <v/>
      </c>
      <c r="AP225" s="59" t="str">
        <f>_xlfn.IFNA(VLOOKUP(Table2[[#This Row],[tee time7]],'Stableford - groups'!$A$3:$F$20,6,FALSE),"")</f>
        <v/>
      </c>
      <c r="AQ225" s="11" t="str">
        <f>_xlfn.IFNA(VLOOKUP(Table2[[#This Row],[tee time7]],'Turkey Shoot - groups'!$A$3:$F$20,4,FALSE),"")</f>
        <v/>
      </c>
      <c r="AR225" s="13" t="str">
        <f>_xlfn.IFNA(VLOOKUP(Table2[[#This Row],[tee time7]],'Turkey Shoot - groups'!$A$3:$F$20,5,FALSE),"")</f>
        <v/>
      </c>
      <c r="AS225" s="68" t="str">
        <f>IF(AND(Table2[[#This Row],[gap7]]="NA",Table2[[#This Row],[round7]]&lt;4/24),0,IFERROR((MAX(starting_interval,IF(Table2[[#This Row],[gap7]]="NA",Table2[[#This Row],[avg gap]],Table2[[#This Row],[gap7]]))-starting_interval)*Table2[[#This Row],[followers7]]/Table2[[#This Row],[group size7]],""))</f>
        <v/>
      </c>
      <c r="AT225" s="72">
        <f>COUNT(Table2[[#This Row],[Tee time1]],Table2[[#This Row],[tee time2]],Table2[[#This Row],[tee time3]],Table2[[#This Row],[tee time4]],Table2[[#This Row],[tee time5]],Table2[[#This Row],[tee time6]],Table2[[#This Row],[tee time7]])</f>
        <v>0</v>
      </c>
      <c r="AU225" s="4" t="str">
        <f>IFERROR(AVERAGE(Table2[[#This Row],[Tee time1]],Table2[[#This Row],[tee time2]],Table2[[#This Row],[tee time3]],Table2[[#This Row],[tee time4]],Table2[[#This Row],[tee time5]],Table2[[#This Row],[tee time6]],Table2[[#This Row],[tee time7]]),"")</f>
        <v/>
      </c>
      <c r="AV225" s="11" t="str">
        <f>IFERROR(MEDIAN(Table2[[#This Row],[round1]],Table2[[#This Row],[Round2]],Table2[[#This Row],[round3]],Table2[[#This Row],[round4]],Table2[[#This Row],[round5]],Table2[[#This Row],[round6]],Table2[[#This Row],[round7]]),"")</f>
        <v/>
      </c>
      <c r="AW225" s="11" t="str">
        <f>IFERROR(AVERAGE(Table2[[#This Row],[gap1]],Table2[[#This Row],[gap2]],Table2[[#This Row],[gap3]],Table2[[#This Row],[gap4]],Table2[[#This Row],[gap5]],Table2[[#This Row],[gap6]],Table2[[#This Row],[gap7]]),"")</f>
        <v/>
      </c>
      <c r="AX225" s="9" t="str">
        <f>IFERROR((Table2[[#This Row],[avg gap]]-starting_interval)*24*60*Table2[[#This Row],[Count]],"NA")</f>
        <v>NA</v>
      </c>
      <c r="AY225"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25" s="2"/>
    </row>
    <row r="226" spans="1:52" hidden="1" x14ac:dyDescent="0.3">
      <c r="A226" s="10" t="s">
        <v>199</v>
      </c>
      <c r="B226" s="1" t="s">
        <v>440</v>
      </c>
      <c r="C226" s="19">
        <v>21.2</v>
      </c>
      <c r="D226" s="32" t="str">
        <f>_xlfn.IFNA(VLOOKUP(Table2[[#This Row],[Name]],'Classic day 1 - players'!$A$2:$B$64,2,FALSE),"")</f>
        <v/>
      </c>
      <c r="E226" s="33" t="str">
        <f>IF(Table2[[#This Row],[Tee time1]]&lt;&gt;"",COUNTIF('Classic day 1 - players'!$B$2:$B$64,"="&amp;Table2[[#This Row],[Tee time1]]),"")</f>
        <v/>
      </c>
      <c r="F226" s="4" t="str">
        <f>_xlfn.IFNA(VLOOKUP(Table2[[#This Row],[Tee time1]],'Classic day 1 - groups'!$A$3:$F$20,6,FALSE),"")</f>
        <v/>
      </c>
      <c r="G226" s="11" t="str">
        <f>_xlfn.IFNA(VLOOKUP(Table2[[#This Row],[Tee time1]],'Classic day 1 - groups'!$A$3:$F$20,4,FALSE),"")</f>
        <v/>
      </c>
      <c r="H226" s="12" t="str">
        <f>_xlfn.IFNA(VLOOKUP(Table2[[#This Row],[Tee time1]],'Classic day 1 - groups'!$A$3:$F$20,5,FALSE),"")</f>
        <v/>
      </c>
      <c r="I226" s="69" t="str">
        <f>IFERROR((MAX(starting_interval,IF(Table2[[#This Row],[gap1]]="NA",Table2[[#This Row],[avg gap]],Table2[[#This Row],[gap1]]))-starting_interval)*Table2[[#This Row],[followers1]]/Table2[[#This Row],[group size]],"")</f>
        <v/>
      </c>
      <c r="J226" s="32" t="str">
        <f>_xlfn.IFNA(VLOOKUP(Table2[[#This Row],[Name]],'Classic day 2 - players'!$A$2:$B$64,2,FALSE),"")</f>
        <v/>
      </c>
      <c r="K226" s="4" t="str">
        <f>IF(Table2[[#This Row],[tee time2]]&lt;&gt;"",COUNTIF('Classic day 2 - players'!$B$2:$B$64,"="&amp;Table2[[#This Row],[tee time2]]),"")</f>
        <v/>
      </c>
      <c r="L226" s="4" t="str">
        <f>_xlfn.IFNA(VLOOKUP(Table2[[#This Row],[tee time2]],'Classic day 2 - groups'!$A$3:$F$20,6,FALSE),"")</f>
        <v/>
      </c>
      <c r="M226" s="4" t="str">
        <f>_xlfn.IFNA(VLOOKUP(Table2[[#This Row],[tee time2]],'Classic day 2 - groups'!$A$3:$F$20,4,FALSE),"")</f>
        <v/>
      </c>
      <c r="N226" s="65" t="str">
        <f>_xlfn.IFNA(VLOOKUP(Table2[[#This Row],[tee time2]],'Classic day 2 - groups'!$A$3:$F$20,5,FALSE),"")</f>
        <v/>
      </c>
      <c r="O226" s="69" t="str">
        <f>IFERROR((MAX(starting_interval,IF(Table2[[#This Row],[gap2]]="NA",Table2[[#This Row],[avg gap]],Table2[[#This Row],[gap2]]))-starting_interval)*Table2[[#This Row],[followers2]]/Table2[[#This Row],[group size2]],"")</f>
        <v/>
      </c>
      <c r="P226" s="32" t="str">
        <f>_xlfn.IFNA(VLOOKUP(Table2[[#This Row],[Name]],'Summer FD - players'!$A$2:$B$65,2,FALSE),"")</f>
        <v/>
      </c>
      <c r="Q226" s="59" t="str">
        <f>IF(Table2[[#This Row],[tee time3]]&lt;&gt;"",COUNTIF('Summer FD - players'!$B$2:$B$65,"="&amp;Table2[[#This Row],[tee time3]]),"")</f>
        <v/>
      </c>
      <c r="R226" s="59" t="str">
        <f>_xlfn.IFNA(VLOOKUP(Table2[[#This Row],[tee time3]],'Summer FD - groups'!$A$3:$F$20,6,FALSE),"")</f>
        <v/>
      </c>
      <c r="S226" s="4" t="str">
        <f>_xlfn.IFNA(VLOOKUP(Table2[[#This Row],[tee time3]],'Summer FD - groups'!$A$3:$F$20,4,FALSE),"")</f>
        <v/>
      </c>
      <c r="T226" s="13" t="str">
        <f>_xlfn.IFNA(VLOOKUP(Table2[[#This Row],[tee time3]],'Summer FD - groups'!$A$3:$F$20,5,FALSE),"")</f>
        <v/>
      </c>
      <c r="U226" s="69" t="str">
        <f>IF(Table2[[#This Row],[avg gap]]&lt;&gt;"",IFERROR((MAX(starting_interval,IF(Table2[[#This Row],[gap3]]="NA",Table2[[#This Row],[avg gap]],Table2[[#This Row],[gap3]]))-starting_interval)*Table2[[#This Row],[followers3]]/Table2[[#This Row],[group size3]],""),"")</f>
        <v/>
      </c>
      <c r="V226" s="32" t="str">
        <f>_xlfn.IFNA(VLOOKUP(Table2[[#This Row],[Name]],'6-6-6 - players'!$A$2:$B$69,2,FALSE),"")</f>
        <v/>
      </c>
      <c r="W226" s="59" t="str">
        <f>IF(Table2[[#This Row],[tee time4]]&lt;&gt;"",COUNTIF('6-6-6 - players'!$B$2:$B$69,"="&amp;Table2[[#This Row],[tee time4]]),"")</f>
        <v/>
      </c>
      <c r="X226" s="59" t="str">
        <f>_xlfn.IFNA(VLOOKUP(Table2[[#This Row],[tee time4]],'6-6-6 - groups'!$A$3:$F$20,6,FALSE),"")</f>
        <v/>
      </c>
      <c r="Y226" s="4" t="str">
        <f>_xlfn.IFNA(VLOOKUP(Table2[[#This Row],[tee time4]],'6-6-6 - groups'!$A$3:$F$20,4,FALSE),"")</f>
        <v/>
      </c>
      <c r="Z226" s="13" t="str">
        <f>_xlfn.IFNA(VLOOKUP(Table2[[#This Row],[tee time4]],'6-6-6 - groups'!$A$3:$F$20,5,FALSE),"")</f>
        <v/>
      </c>
      <c r="AA226" s="69" t="str">
        <f>IF(Table2[[#This Row],[avg gap]]&lt;&gt;"",IFERROR((MAX(starting_interval,IF(Table2[[#This Row],[gap4]]="NA",Table2[[#This Row],[avg gap]],Table2[[#This Row],[gap4]]))-starting_interval)*Table2[[#This Row],[followers4]]/Table2[[#This Row],[group size4]],""),"")</f>
        <v/>
      </c>
      <c r="AB226" s="32" t="str">
        <f>_xlfn.IFNA(VLOOKUP(Table2[[#This Row],[Name]],'Fall FD - players'!$A$2:$B$65,2,FALSE),"")</f>
        <v/>
      </c>
      <c r="AC226" s="59" t="str">
        <f>IF(Table2[[#This Row],[tee time5]]&lt;&gt;"",COUNTIF('Fall FD - players'!$B$2:$B$65,"="&amp;Table2[[#This Row],[tee time5]]),"")</f>
        <v/>
      </c>
      <c r="AD226" s="59" t="str">
        <f>_xlfn.IFNA(VLOOKUP(Table2[[#This Row],[tee time5]],'Fall FD - groups'!$A$3:$F$20,6,FALSE),"")</f>
        <v/>
      </c>
      <c r="AE226" s="4" t="str">
        <f>_xlfn.IFNA(VLOOKUP(Table2[[#This Row],[tee time5]],'Fall FD - groups'!$A$3:$F$20,4,FALSE),"")</f>
        <v/>
      </c>
      <c r="AF226" s="13" t="str">
        <f>IFERROR(MIN(_xlfn.IFNA(VLOOKUP(Table2[[#This Row],[tee time5]],'Fall FD - groups'!$A$3:$F$20,5,FALSE),""),starting_interval + Table2[[#This Row],[round5]] - standard_round_time),"")</f>
        <v/>
      </c>
      <c r="AG226" s="69" t="str">
        <f>IF(AND(Table2[[#This Row],[gap5]]="NA",Table2[[#This Row],[round5]]&lt;4/24),0,IFERROR((MAX(starting_interval,IF(Table2[[#This Row],[gap5]]="NA",Table2[[#This Row],[avg gap]],Table2[[#This Row],[gap5]]))-starting_interval)*Table2[[#This Row],[followers5]]/Table2[[#This Row],[group size5]],""))</f>
        <v/>
      </c>
      <c r="AH226" s="32" t="str">
        <f>_xlfn.IFNA(VLOOKUP(Table2[[#This Row],[Name]],'Stableford - players'!$A$2:$B$65,2,FALSE),"")</f>
        <v/>
      </c>
      <c r="AI226" s="59" t="str">
        <f>IF(Table2[[#This Row],[tee time6]]&lt;&gt;"",COUNTIF('Stableford - players'!$B$2:$B$65,"="&amp;Table2[[#This Row],[tee time6]]),"")</f>
        <v/>
      </c>
      <c r="AJ226" s="59" t="str">
        <f>_xlfn.IFNA(VLOOKUP(Table2[[#This Row],[tee time6]],'Stableford - groups'!$A$3:$F$20,6,FALSE),"")</f>
        <v/>
      </c>
      <c r="AK226" s="11" t="str">
        <f>_xlfn.IFNA(VLOOKUP(Table2[[#This Row],[tee time6]],'Stableford - groups'!$A$3:$F$20,4,FALSE),"")</f>
        <v/>
      </c>
      <c r="AL226" s="13" t="str">
        <f>_xlfn.IFNA(VLOOKUP(Table2[[#This Row],[tee time6]],'Stableford - groups'!$A$3:$F$20,5,FALSE),"")</f>
        <v/>
      </c>
      <c r="AM226" s="68" t="str">
        <f>IF(AND(Table2[[#This Row],[gap6]]="NA",Table2[[#This Row],[round6]]&lt;4/24),0,IFERROR((MAX(starting_interval,IF(Table2[[#This Row],[gap6]]="NA",Table2[[#This Row],[avg gap]],Table2[[#This Row],[gap6]]))-starting_interval)*Table2[[#This Row],[followers6]]/Table2[[#This Row],[group size6]],""))</f>
        <v/>
      </c>
      <c r="AN226" s="32" t="str">
        <f>_xlfn.IFNA(VLOOKUP(Table2[[#This Row],[Name]],'Turkey Shoot - players'!$A$2:$B$65,2,FALSE),"")</f>
        <v/>
      </c>
      <c r="AO226" s="59" t="str">
        <f>IF(Table2[[#This Row],[tee time7]]&lt;&gt;"",COUNTIF('Turkey Shoot - players'!$B$2:$B$65,"="&amp;Table2[[#This Row],[tee time7]]),"")</f>
        <v/>
      </c>
      <c r="AP226" s="59" t="str">
        <f>_xlfn.IFNA(VLOOKUP(Table2[[#This Row],[tee time7]],'Stableford - groups'!$A$3:$F$20,6,FALSE),"")</f>
        <v/>
      </c>
      <c r="AQ226" s="11" t="str">
        <f>_xlfn.IFNA(VLOOKUP(Table2[[#This Row],[tee time7]],'Turkey Shoot - groups'!$A$3:$F$20,4,FALSE),"")</f>
        <v/>
      </c>
      <c r="AR226" s="13" t="str">
        <f>_xlfn.IFNA(VLOOKUP(Table2[[#This Row],[tee time7]],'Turkey Shoot - groups'!$A$3:$F$20,5,FALSE),"")</f>
        <v/>
      </c>
      <c r="AS226" s="68" t="str">
        <f>IF(AND(Table2[[#This Row],[gap7]]="NA",Table2[[#This Row],[round7]]&lt;4/24),0,IFERROR((MAX(starting_interval,IF(Table2[[#This Row],[gap7]]="NA",Table2[[#This Row],[avg gap]],Table2[[#This Row],[gap7]]))-starting_interval)*Table2[[#This Row],[followers7]]/Table2[[#This Row],[group size7]],""))</f>
        <v/>
      </c>
      <c r="AT226" s="72">
        <f>COUNT(Table2[[#This Row],[Tee time1]],Table2[[#This Row],[tee time2]],Table2[[#This Row],[tee time3]],Table2[[#This Row],[tee time4]],Table2[[#This Row],[tee time5]],Table2[[#This Row],[tee time6]],Table2[[#This Row],[tee time7]])</f>
        <v>0</v>
      </c>
      <c r="AU226" s="4" t="str">
        <f>IFERROR(AVERAGE(Table2[[#This Row],[Tee time1]],Table2[[#This Row],[tee time2]],Table2[[#This Row],[tee time3]],Table2[[#This Row],[tee time4]],Table2[[#This Row],[tee time5]],Table2[[#This Row],[tee time6]],Table2[[#This Row],[tee time7]]),"")</f>
        <v/>
      </c>
      <c r="AV226" s="11" t="str">
        <f>IFERROR(MEDIAN(Table2[[#This Row],[round1]],Table2[[#This Row],[Round2]],Table2[[#This Row],[round3]],Table2[[#This Row],[round4]],Table2[[#This Row],[round5]],Table2[[#This Row],[round6]],Table2[[#This Row],[round7]]),"")</f>
        <v/>
      </c>
      <c r="AW226" s="11" t="str">
        <f>IFERROR(AVERAGE(Table2[[#This Row],[gap1]],Table2[[#This Row],[gap2]],Table2[[#This Row],[gap3]],Table2[[#This Row],[gap4]],Table2[[#This Row],[gap5]],Table2[[#This Row],[gap6]],Table2[[#This Row],[gap7]]),"")</f>
        <v/>
      </c>
      <c r="AX226" s="9" t="str">
        <f>IFERROR((Table2[[#This Row],[avg gap]]-starting_interval)*24*60*Table2[[#This Row],[Count]],"NA")</f>
        <v>NA</v>
      </c>
      <c r="AY226"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26" s="2"/>
    </row>
    <row r="227" spans="1:52" hidden="1" x14ac:dyDescent="0.3">
      <c r="A227" s="10" t="s">
        <v>203</v>
      </c>
      <c r="B227" s="1" t="s">
        <v>444</v>
      </c>
      <c r="C227" s="19">
        <v>16.899999999999999</v>
      </c>
      <c r="D227" s="32" t="str">
        <f>_xlfn.IFNA(VLOOKUP(Table2[[#This Row],[Name]],'Classic day 1 - players'!$A$2:$B$64,2,FALSE),"")</f>
        <v/>
      </c>
      <c r="E227" s="33" t="str">
        <f>IF(Table2[[#This Row],[Tee time1]]&lt;&gt;"",COUNTIF('Classic day 1 - players'!$B$2:$B$64,"="&amp;Table2[[#This Row],[Tee time1]]),"")</f>
        <v/>
      </c>
      <c r="F227" s="4" t="str">
        <f>_xlfn.IFNA(VLOOKUP(Table2[[#This Row],[Tee time1]],'Classic day 1 - groups'!$A$3:$F$20,6,FALSE),"")</f>
        <v/>
      </c>
      <c r="G227" s="11" t="str">
        <f>_xlfn.IFNA(VLOOKUP(Table2[[#This Row],[Tee time1]],'Classic day 1 - groups'!$A$3:$F$20,4,FALSE),"")</f>
        <v/>
      </c>
      <c r="H227" s="12" t="str">
        <f>_xlfn.IFNA(VLOOKUP(Table2[[#This Row],[Tee time1]],'Classic day 1 - groups'!$A$3:$F$20,5,FALSE),"")</f>
        <v/>
      </c>
      <c r="I227" s="69" t="str">
        <f>IFERROR((MAX(starting_interval,IF(Table2[[#This Row],[gap1]]="NA",Table2[[#This Row],[avg gap]],Table2[[#This Row],[gap1]]))-starting_interval)*Table2[[#This Row],[followers1]]/Table2[[#This Row],[group size]],"")</f>
        <v/>
      </c>
      <c r="J227" s="32" t="str">
        <f>_xlfn.IFNA(VLOOKUP(Table2[[#This Row],[Name]],'Classic day 2 - players'!$A$2:$B$64,2,FALSE),"")</f>
        <v/>
      </c>
      <c r="K227" s="4" t="str">
        <f>IF(Table2[[#This Row],[tee time2]]&lt;&gt;"",COUNTIF('Classic day 2 - players'!$B$2:$B$64,"="&amp;Table2[[#This Row],[tee time2]]),"")</f>
        <v/>
      </c>
      <c r="L227" s="4" t="str">
        <f>_xlfn.IFNA(VLOOKUP(Table2[[#This Row],[tee time2]],'Classic day 2 - groups'!$A$3:$F$20,6,FALSE),"")</f>
        <v/>
      </c>
      <c r="M227" s="4" t="str">
        <f>_xlfn.IFNA(VLOOKUP(Table2[[#This Row],[tee time2]],'Classic day 2 - groups'!$A$3:$F$20,4,FALSE),"")</f>
        <v/>
      </c>
      <c r="N227" s="65" t="str">
        <f>_xlfn.IFNA(VLOOKUP(Table2[[#This Row],[tee time2]],'Classic day 2 - groups'!$A$3:$F$20,5,FALSE),"")</f>
        <v/>
      </c>
      <c r="O227" s="69" t="str">
        <f>IFERROR((MAX(starting_interval,IF(Table2[[#This Row],[gap2]]="NA",Table2[[#This Row],[avg gap]],Table2[[#This Row],[gap2]]))-starting_interval)*Table2[[#This Row],[followers2]]/Table2[[#This Row],[group size2]],"")</f>
        <v/>
      </c>
      <c r="P227" s="32" t="str">
        <f>_xlfn.IFNA(VLOOKUP(Table2[[#This Row],[Name]],'Summer FD - players'!$A$2:$B$65,2,FALSE),"")</f>
        <v/>
      </c>
      <c r="Q227" s="59" t="str">
        <f>IF(Table2[[#This Row],[tee time3]]&lt;&gt;"",COUNTIF('Summer FD - players'!$B$2:$B$65,"="&amp;Table2[[#This Row],[tee time3]]),"")</f>
        <v/>
      </c>
      <c r="R227" s="59" t="str">
        <f>_xlfn.IFNA(VLOOKUP(Table2[[#This Row],[tee time3]],'Summer FD - groups'!$A$3:$F$20,6,FALSE),"")</f>
        <v/>
      </c>
      <c r="S227" s="4" t="str">
        <f>_xlfn.IFNA(VLOOKUP(Table2[[#This Row],[tee time3]],'Summer FD - groups'!$A$3:$F$20,4,FALSE),"")</f>
        <v/>
      </c>
      <c r="T227" s="13" t="str">
        <f>_xlfn.IFNA(VLOOKUP(Table2[[#This Row],[tee time3]],'Summer FD - groups'!$A$3:$F$20,5,FALSE),"")</f>
        <v/>
      </c>
      <c r="U227" s="69" t="str">
        <f>IF(Table2[[#This Row],[avg gap]]&lt;&gt;"",IFERROR((MAX(starting_interval,IF(Table2[[#This Row],[gap3]]="NA",Table2[[#This Row],[avg gap]],Table2[[#This Row],[gap3]]))-starting_interval)*Table2[[#This Row],[followers3]]/Table2[[#This Row],[group size3]],""),"")</f>
        <v/>
      </c>
      <c r="V227" s="32" t="str">
        <f>_xlfn.IFNA(VLOOKUP(Table2[[#This Row],[Name]],'6-6-6 - players'!$A$2:$B$69,2,FALSE),"")</f>
        <v/>
      </c>
      <c r="W227" s="59" t="str">
        <f>IF(Table2[[#This Row],[tee time4]]&lt;&gt;"",COUNTIF('6-6-6 - players'!$B$2:$B$69,"="&amp;Table2[[#This Row],[tee time4]]),"")</f>
        <v/>
      </c>
      <c r="X227" s="59" t="str">
        <f>_xlfn.IFNA(VLOOKUP(Table2[[#This Row],[tee time4]],'6-6-6 - groups'!$A$3:$F$20,6,FALSE),"")</f>
        <v/>
      </c>
      <c r="Y227" s="4" t="str">
        <f>_xlfn.IFNA(VLOOKUP(Table2[[#This Row],[tee time4]],'6-6-6 - groups'!$A$3:$F$20,4,FALSE),"")</f>
        <v/>
      </c>
      <c r="Z227" s="13" t="str">
        <f>_xlfn.IFNA(VLOOKUP(Table2[[#This Row],[tee time4]],'6-6-6 - groups'!$A$3:$F$20,5,FALSE),"")</f>
        <v/>
      </c>
      <c r="AA227" s="69" t="str">
        <f>IF(Table2[[#This Row],[avg gap]]&lt;&gt;"",IFERROR((MAX(starting_interval,IF(Table2[[#This Row],[gap4]]="NA",Table2[[#This Row],[avg gap]],Table2[[#This Row],[gap4]]))-starting_interval)*Table2[[#This Row],[followers4]]/Table2[[#This Row],[group size4]],""),"")</f>
        <v/>
      </c>
      <c r="AB227" s="32" t="str">
        <f>_xlfn.IFNA(VLOOKUP(Table2[[#This Row],[Name]],'Fall FD - players'!$A$2:$B$65,2,FALSE),"")</f>
        <v/>
      </c>
      <c r="AC227" s="59" t="str">
        <f>IF(Table2[[#This Row],[tee time5]]&lt;&gt;"",COUNTIF('Fall FD - players'!$B$2:$B$65,"="&amp;Table2[[#This Row],[tee time5]]),"")</f>
        <v/>
      </c>
      <c r="AD227" s="59" t="str">
        <f>_xlfn.IFNA(VLOOKUP(Table2[[#This Row],[tee time5]],'Fall FD - groups'!$A$3:$F$20,6,FALSE),"")</f>
        <v/>
      </c>
      <c r="AE227" s="4" t="str">
        <f>_xlfn.IFNA(VLOOKUP(Table2[[#This Row],[tee time5]],'Fall FD - groups'!$A$3:$F$20,4,FALSE),"")</f>
        <v/>
      </c>
      <c r="AF227" s="13" t="str">
        <f>IFERROR(MIN(_xlfn.IFNA(VLOOKUP(Table2[[#This Row],[tee time5]],'Fall FD - groups'!$A$3:$F$20,5,FALSE),""),starting_interval + Table2[[#This Row],[round5]] - standard_round_time),"")</f>
        <v/>
      </c>
      <c r="AG227" s="69" t="str">
        <f>IF(AND(Table2[[#This Row],[gap5]]="NA",Table2[[#This Row],[round5]]&lt;4/24),0,IFERROR((MAX(starting_interval,IF(Table2[[#This Row],[gap5]]="NA",Table2[[#This Row],[avg gap]],Table2[[#This Row],[gap5]]))-starting_interval)*Table2[[#This Row],[followers5]]/Table2[[#This Row],[group size5]],""))</f>
        <v/>
      </c>
      <c r="AH227" s="32" t="str">
        <f>_xlfn.IFNA(VLOOKUP(Table2[[#This Row],[Name]],'Stableford - players'!$A$2:$B$65,2,FALSE),"")</f>
        <v/>
      </c>
      <c r="AI227" s="59" t="str">
        <f>IF(Table2[[#This Row],[tee time6]]&lt;&gt;"",COUNTIF('Stableford - players'!$B$2:$B$65,"="&amp;Table2[[#This Row],[tee time6]]),"")</f>
        <v/>
      </c>
      <c r="AJ227" s="59" t="str">
        <f>_xlfn.IFNA(VLOOKUP(Table2[[#This Row],[tee time6]],'Stableford - groups'!$A$3:$F$20,6,FALSE),"")</f>
        <v/>
      </c>
      <c r="AK227" s="11" t="str">
        <f>_xlfn.IFNA(VLOOKUP(Table2[[#This Row],[tee time6]],'Stableford - groups'!$A$3:$F$20,4,FALSE),"")</f>
        <v/>
      </c>
      <c r="AL227" s="13" t="str">
        <f>_xlfn.IFNA(VLOOKUP(Table2[[#This Row],[tee time6]],'Stableford - groups'!$A$3:$F$20,5,FALSE),"")</f>
        <v/>
      </c>
      <c r="AM227" s="68" t="str">
        <f>IF(AND(Table2[[#This Row],[gap6]]="NA",Table2[[#This Row],[round6]]&lt;4/24),0,IFERROR((MAX(starting_interval,IF(Table2[[#This Row],[gap6]]="NA",Table2[[#This Row],[avg gap]],Table2[[#This Row],[gap6]]))-starting_interval)*Table2[[#This Row],[followers6]]/Table2[[#This Row],[group size6]],""))</f>
        <v/>
      </c>
      <c r="AN227" s="32" t="str">
        <f>_xlfn.IFNA(VLOOKUP(Table2[[#This Row],[Name]],'Turkey Shoot - players'!$A$2:$B$65,2,FALSE),"")</f>
        <v/>
      </c>
      <c r="AO227" s="59" t="str">
        <f>IF(Table2[[#This Row],[tee time7]]&lt;&gt;"",COUNTIF('Turkey Shoot - players'!$B$2:$B$65,"="&amp;Table2[[#This Row],[tee time7]]),"")</f>
        <v/>
      </c>
      <c r="AP227" s="59" t="str">
        <f>_xlfn.IFNA(VLOOKUP(Table2[[#This Row],[tee time7]],'Stableford - groups'!$A$3:$F$20,6,FALSE),"")</f>
        <v/>
      </c>
      <c r="AQ227" s="11" t="str">
        <f>_xlfn.IFNA(VLOOKUP(Table2[[#This Row],[tee time7]],'Turkey Shoot - groups'!$A$3:$F$20,4,FALSE),"")</f>
        <v/>
      </c>
      <c r="AR227" s="13" t="str">
        <f>_xlfn.IFNA(VLOOKUP(Table2[[#This Row],[tee time7]],'Turkey Shoot - groups'!$A$3:$F$20,5,FALSE),"")</f>
        <v/>
      </c>
      <c r="AS227" s="68" t="str">
        <f>IF(AND(Table2[[#This Row],[gap7]]="NA",Table2[[#This Row],[round7]]&lt;4/24),0,IFERROR((MAX(starting_interval,IF(Table2[[#This Row],[gap7]]="NA",Table2[[#This Row],[avg gap]],Table2[[#This Row],[gap7]]))-starting_interval)*Table2[[#This Row],[followers7]]/Table2[[#This Row],[group size7]],""))</f>
        <v/>
      </c>
      <c r="AT227" s="72">
        <f>COUNT(Table2[[#This Row],[Tee time1]],Table2[[#This Row],[tee time2]],Table2[[#This Row],[tee time3]],Table2[[#This Row],[tee time4]],Table2[[#This Row],[tee time5]],Table2[[#This Row],[tee time6]],Table2[[#This Row],[tee time7]])</f>
        <v>0</v>
      </c>
      <c r="AU227" s="4" t="str">
        <f>IFERROR(AVERAGE(Table2[[#This Row],[Tee time1]],Table2[[#This Row],[tee time2]],Table2[[#This Row],[tee time3]],Table2[[#This Row],[tee time4]],Table2[[#This Row],[tee time5]],Table2[[#This Row],[tee time6]],Table2[[#This Row],[tee time7]]),"")</f>
        <v/>
      </c>
      <c r="AV227" s="11" t="str">
        <f>IFERROR(MEDIAN(Table2[[#This Row],[round1]],Table2[[#This Row],[Round2]],Table2[[#This Row],[round3]],Table2[[#This Row],[round4]],Table2[[#This Row],[round5]],Table2[[#This Row],[round6]],Table2[[#This Row],[round7]]),"")</f>
        <v/>
      </c>
      <c r="AW227" s="11" t="str">
        <f>IFERROR(AVERAGE(Table2[[#This Row],[gap1]],Table2[[#This Row],[gap2]],Table2[[#This Row],[gap3]],Table2[[#This Row],[gap4]],Table2[[#This Row],[gap5]],Table2[[#This Row],[gap6]],Table2[[#This Row],[gap7]]),"")</f>
        <v/>
      </c>
      <c r="AX227" s="9" t="str">
        <f>IFERROR((Table2[[#This Row],[avg gap]]-starting_interval)*24*60*Table2[[#This Row],[Count]],"NA")</f>
        <v>NA</v>
      </c>
      <c r="AY227"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27" s="2"/>
    </row>
    <row r="228" spans="1:52" hidden="1" x14ac:dyDescent="0.3">
      <c r="A228" s="10" t="s">
        <v>206</v>
      </c>
      <c r="B228" s="1" t="s">
        <v>447</v>
      </c>
      <c r="C228" s="19">
        <v>8.1</v>
      </c>
      <c r="D228" s="32" t="str">
        <f>_xlfn.IFNA(VLOOKUP(Table2[[#This Row],[Name]],'Classic day 1 - players'!$A$2:$B$64,2,FALSE),"")</f>
        <v/>
      </c>
      <c r="E228" s="33" t="str">
        <f>IF(Table2[[#This Row],[Tee time1]]&lt;&gt;"",COUNTIF('Classic day 1 - players'!$B$2:$B$64,"="&amp;Table2[[#This Row],[Tee time1]]),"")</f>
        <v/>
      </c>
      <c r="F228" s="4" t="str">
        <f>_xlfn.IFNA(VLOOKUP(Table2[[#This Row],[Tee time1]],'Classic day 1 - groups'!$A$3:$F$20,6,FALSE),"")</f>
        <v/>
      </c>
      <c r="G228" s="11" t="str">
        <f>_xlfn.IFNA(VLOOKUP(Table2[[#This Row],[Tee time1]],'Classic day 1 - groups'!$A$3:$F$20,4,FALSE),"")</f>
        <v/>
      </c>
      <c r="H228" s="12" t="str">
        <f>_xlfn.IFNA(VLOOKUP(Table2[[#This Row],[Tee time1]],'Classic day 1 - groups'!$A$3:$F$20,5,FALSE),"")</f>
        <v/>
      </c>
      <c r="I228" s="69" t="str">
        <f>IFERROR((MAX(starting_interval,IF(Table2[[#This Row],[gap1]]="NA",Table2[[#This Row],[avg gap]],Table2[[#This Row],[gap1]]))-starting_interval)*Table2[[#This Row],[followers1]]/Table2[[#This Row],[group size]],"")</f>
        <v/>
      </c>
      <c r="J228" s="32" t="str">
        <f>_xlfn.IFNA(VLOOKUP(Table2[[#This Row],[Name]],'Classic day 2 - players'!$A$2:$B$64,2,FALSE),"")</f>
        <v/>
      </c>
      <c r="K228" s="4" t="str">
        <f>IF(Table2[[#This Row],[tee time2]]&lt;&gt;"",COUNTIF('Classic day 2 - players'!$B$2:$B$64,"="&amp;Table2[[#This Row],[tee time2]]),"")</f>
        <v/>
      </c>
      <c r="L228" s="4" t="str">
        <f>_xlfn.IFNA(VLOOKUP(Table2[[#This Row],[tee time2]],'Classic day 2 - groups'!$A$3:$F$20,6,FALSE),"")</f>
        <v/>
      </c>
      <c r="M228" s="4" t="str">
        <f>_xlfn.IFNA(VLOOKUP(Table2[[#This Row],[tee time2]],'Classic day 2 - groups'!$A$3:$F$20,4,FALSE),"")</f>
        <v/>
      </c>
      <c r="N228" s="65" t="str">
        <f>_xlfn.IFNA(VLOOKUP(Table2[[#This Row],[tee time2]],'Classic day 2 - groups'!$A$3:$F$20,5,FALSE),"")</f>
        <v/>
      </c>
      <c r="O228" s="69" t="str">
        <f>IFERROR((MAX(starting_interval,IF(Table2[[#This Row],[gap2]]="NA",Table2[[#This Row],[avg gap]],Table2[[#This Row],[gap2]]))-starting_interval)*Table2[[#This Row],[followers2]]/Table2[[#This Row],[group size2]],"")</f>
        <v/>
      </c>
      <c r="P228" s="32" t="str">
        <f>_xlfn.IFNA(VLOOKUP(Table2[[#This Row],[Name]],'Summer FD - players'!$A$2:$B$65,2,FALSE),"")</f>
        <v/>
      </c>
      <c r="Q228" s="59" t="str">
        <f>IF(Table2[[#This Row],[tee time3]]&lt;&gt;"",COUNTIF('Summer FD - players'!$B$2:$B$65,"="&amp;Table2[[#This Row],[tee time3]]),"")</f>
        <v/>
      </c>
      <c r="R228" s="59" t="str">
        <f>_xlfn.IFNA(VLOOKUP(Table2[[#This Row],[tee time3]],'Summer FD - groups'!$A$3:$F$20,6,FALSE),"")</f>
        <v/>
      </c>
      <c r="S228" s="4" t="str">
        <f>_xlfn.IFNA(VLOOKUP(Table2[[#This Row],[tee time3]],'Summer FD - groups'!$A$3:$F$20,4,FALSE),"")</f>
        <v/>
      </c>
      <c r="T228" s="13" t="str">
        <f>_xlfn.IFNA(VLOOKUP(Table2[[#This Row],[tee time3]],'Summer FD - groups'!$A$3:$F$20,5,FALSE),"")</f>
        <v/>
      </c>
      <c r="U228" s="69" t="str">
        <f>IF(Table2[[#This Row],[avg gap]]&lt;&gt;"",IFERROR((MAX(starting_interval,IF(Table2[[#This Row],[gap3]]="NA",Table2[[#This Row],[avg gap]],Table2[[#This Row],[gap3]]))-starting_interval)*Table2[[#This Row],[followers3]]/Table2[[#This Row],[group size3]],""),"")</f>
        <v/>
      </c>
      <c r="V228" s="32" t="str">
        <f>_xlfn.IFNA(VLOOKUP(Table2[[#This Row],[Name]],'6-6-6 - players'!$A$2:$B$69,2,FALSE),"")</f>
        <v/>
      </c>
      <c r="W228" s="59" t="str">
        <f>IF(Table2[[#This Row],[tee time4]]&lt;&gt;"",COUNTIF('6-6-6 - players'!$B$2:$B$69,"="&amp;Table2[[#This Row],[tee time4]]),"")</f>
        <v/>
      </c>
      <c r="X228" s="59" t="str">
        <f>_xlfn.IFNA(VLOOKUP(Table2[[#This Row],[tee time4]],'6-6-6 - groups'!$A$3:$F$20,6,FALSE),"")</f>
        <v/>
      </c>
      <c r="Y228" s="4" t="str">
        <f>_xlfn.IFNA(VLOOKUP(Table2[[#This Row],[tee time4]],'6-6-6 - groups'!$A$3:$F$20,4,FALSE),"")</f>
        <v/>
      </c>
      <c r="Z228" s="13" t="str">
        <f>_xlfn.IFNA(VLOOKUP(Table2[[#This Row],[tee time4]],'6-6-6 - groups'!$A$3:$F$20,5,FALSE),"")</f>
        <v/>
      </c>
      <c r="AA228" s="69" t="str">
        <f>IF(Table2[[#This Row],[avg gap]]&lt;&gt;"",IFERROR((MAX(starting_interval,IF(Table2[[#This Row],[gap4]]="NA",Table2[[#This Row],[avg gap]],Table2[[#This Row],[gap4]]))-starting_interval)*Table2[[#This Row],[followers4]]/Table2[[#This Row],[group size4]],""),"")</f>
        <v/>
      </c>
      <c r="AB228" s="32" t="str">
        <f>_xlfn.IFNA(VLOOKUP(Table2[[#This Row],[Name]],'Fall FD - players'!$A$2:$B$65,2,FALSE),"")</f>
        <v/>
      </c>
      <c r="AC228" s="59" t="str">
        <f>IF(Table2[[#This Row],[tee time5]]&lt;&gt;"",COUNTIF('Fall FD - players'!$B$2:$B$65,"="&amp;Table2[[#This Row],[tee time5]]),"")</f>
        <v/>
      </c>
      <c r="AD228" s="59" t="str">
        <f>_xlfn.IFNA(VLOOKUP(Table2[[#This Row],[tee time5]],'Fall FD - groups'!$A$3:$F$20,6,FALSE),"")</f>
        <v/>
      </c>
      <c r="AE228" s="4" t="str">
        <f>_xlfn.IFNA(VLOOKUP(Table2[[#This Row],[tee time5]],'Fall FD - groups'!$A$3:$F$20,4,FALSE),"")</f>
        <v/>
      </c>
      <c r="AF228" s="13" t="str">
        <f>IFERROR(MIN(_xlfn.IFNA(VLOOKUP(Table2[[#This Row],[tee time5]],'Fall FD - groups'!$A$3:$F$20,5,FALSE),""),starting_interval + Table2[[#This Row],[round5]] - standard_round_time),"")</f>
        <v/>
      </c>
      <c r="AG228" s="69" t="str">
        <f>IF(AND(Table2[[#This Row],[gap5]]="NA",Table2[[#This Row],[round5]]&lt;4/24),0,IFERROR((MAX(starting_interval,IF(Table2[[#This Row],[gap5]]="NA",Table2[[#This Row],[avg gap]],Table2[[#This Row],[gap5]]))-starting_interval)*Table2[[#This Row],[followers5]]/Table2[[#This Row],[group size5]],""))</f>
        <v/>
      </c>
      <c r="AH228" s="32" t="str">
        <f>_xlfn.IFNA(VLOOKUP(Table2[[#This Row],[Name]],'Stableford - players'!$A$2:$B$65,2,FALSE),"")</f>
        <v/>
      </c>
      <c r="AI228" s="59" t="str">
        <f>IF(Table2[[#This Row],[tee time6]]&lt;&gt;"",COUNTIF('Stableford - players'!$B$2:$B$65,"="&amp;Table2[[#This Row],[tee time6]]),"")</f>
        <v/>
      </c>
      <c r="AJ228" s="59" t="str">
        <f>_xlfn.IFNA(VLOOKUP(Table2[[#This Row],[tee time6]],'Stableford - groups'!$A$3:$F$20,6,FALSE),"")</f>
        <v/>
      </c>
      <c r="AK228" s="11" t="str">
        <f>_xlfn.IFNA(VLOOKUP(Table2[[#This Row],[tee time6]],'Stableford - groups'!$A$3:$F$20,4,FALSE),"")</f>
        <v/>
      </c>
      <c r="AL228" s="13" t="str">
        <f>_xlfn.IFNA(VLOOKUP(Table2[[#This Row],[tee time6]],'Stableford - groups'!$A$3:$F$20,5,FALSE),"")</f>
        <v/>
      </c>
      <c r="AM228" s="68" t="str">
        <f>IF(AND(Table2[[#This Row],[gap6]]="NA",Table2[[#This Row],[round6]]&lt;4/24),0,IFERROR((MAX(starting_interval,IF(Table2[[#This Row],[gap6]]="NA",Table2[[#This Row],[avg gap]],Table2[[#This Row],[gap6]]))-starting_interval)*Table2[[#This Row],[followers6]]/Table2[[#This Row],[group size6]],""))</f>
        <v/>
      </c>
      <c r="AN228" s="32" t="str">
        <f>_xlfn.IFNA(VLOOKUP(Table2[[#This Row],[Name]],'Turkey Shoot - players'!$A$2:$B$65,2,FALSE),"")</f>
        <v/>
      </c>
      <c r="AO228" s="59" t="str">
        <f>IF(Table2[[#This Row],[tee time7]]&lt;&gt;"",COUNTIF('Turkey Shoot - players'!$B$2:$B$65,"="&amp;Table2[[#This Row],[tee time7]]),"")</f>
        <v/>
      </c>
      <c r="AP228" s="59" t="str">
        <f>_xlfn.IFNA(VLOOKUP(Table2[[#This Row],[tee time7]],'Stableford - groups'!$A$3:$F$20,6,FALSE),"")</f>
        <v/>
      </c>
      <c r="AQ228" s="11" t="str">
        <f>_xlfn.IFNA(VLOOKUP(Table2[[#This Row],[tee time7]],'Turkey Shoot - groups'!$A$3:$F$20,4,FALSE),"")</f>
        <v/>
      </c>
      <c r="AR228" s="13" t="str">
        <f>_xlfn.IFNA(VLOOKUP(Table2[[#This Row],[tee time7]],'Turkey Shoot - groups'!$A$3:$F$20,5,FALSE),"")</f>
        <v/>
      </c>
      <c r="AS228" s="68" t="str">
        <f>IF(AND(Table2[[#This Row],[gap7]]="NA",Table2[[#This Row],[round7]]&lt;4/24),0,IFERROR((MAX(starting_interval,IF(Table2[[#This Row],[gap7]]="NA",Table2[[#This Row],[avg gap]],Table2[[#This Row],[gap7]]))-starting_interval)*Table2[[#This Row],[followers7]]/Table2[[#This Row],[group size7]],""))</f>
        <v/>
      </c>
      <c r="AT228" s="72">
        <f>COUNT(Table2[[#This Row],[Tee time1]],Table2[[#This Row],[tee time2]],Table2[[#This Row],[tee time3]],Table2[[#This Row],[tee time4]],Table2[[#This Row],[tee time5]],Table2[[#This Row],[tee time6]],Table2[[#This Row],[tee time7]])</f>
        <v>0</v>
      </c>
      <c r="AU228" s="4" t="str">
        <f>IFERROR(AVERAGE(Table2[[#This Row],[Tee time1]],Table2[[#This Row],[tee time2]],Table2[[#This Row],[tee time3]],Table2[[#This Row],[tee time4]],Table2[[#This Row],[tee time5]],Table2[[#This Row],[tee time6]],Table2[[#This Row],[tee time7]]),"")</f>
        <v/>
      </c>
      <c r="AV228" s="11" t="str">
        <f>IFERROR(MEDIAN(Table2[[#This Row],[round1]],Table2[[#This Row],[Round2]],Table2[[#This Row],[round3]],Table2[[#This Row],[round4]],Table2[[#This Row],[round5]],Table2[[#This Row],[round6]],Table2[[#This Row],[round7]]),"")</f>
        <v/>
      </c>
      <c r="AW228" s="11" t="str">
        <f>IFERROR(AVERAGE(Table2[[#This Row],[gap1]],Table2[[#This Row],[gap2]],Table2[[#This Row],[gap3]],Table2[[#This Row],[gap4]],Table2[[#This Row],[gap5]],Table2[[#This Row],[gap6]],Table2[[#This Row],[gap7]]),"")</f>
        <v/>
      </c>
      <c r="AX228" s="9" t="str">
        <f>IFERROR((Table2[[#This Row],[avg gap]]-starting_interval)*24*60*Table2[[#This Row],[Count]],"NA")</f>
        <v>NA</v>
      </c>
      <c r="AY228"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28" s="2"/>
    </row>
    <row r="229" spans="1:52" hidden="1" x14ac:dyDescent="0.3">
      <c r="A229" s="10" t="s">
        <v>208</v>
      </c>
      <c r="B229" s="1" t="s">
        <v>449</v>
      </c>
      <c r="C229" s="19">
        <v>14.3</v>
      </c>
      <c r="D229" s="32" t="str">
        <f>_xlfn.IFNA(VLOOKUP(Table2[[#This Row],[Name]],'Classic day 1 - players'!$A$2:$B$64,2,FALSE),"")</f>
        <v/>
      </c>
      <c r="E229" s="33" t="str">
        <f>IF(Table2[[#This Row],[Tee time1]]&lt;&gt;"",COUNTIF('Classic day 1 - players'!$B$2:$B$64,"="&amp;Table2[[#This Row],[Tee time1]]),"")</f>
        <v/>
      </c>
      <c r="F229" s="4" t="str">
        <f>_xlfn.IFNA(VLOOKUP(Table2[[#This Row],[Tee time1]],'Classic day 1 - groups'!$A$3:$F$20,6,FALSE),"")</f>
        <v/>
      </c>
      <c r="G229" s="11" t="str">
        <f>_xlfn.IFNA(VLOOKUP(Table2[[#This Row],[Tee time1]],'Classic day 1 - groups'!$A$3:$F$20,4,FALSE),"")</f>
        <v/>
      </c>
      <c r="H229" s="12" t="str">
        <f>_xlfn.IFNA(VLOOKUP(Table2[[#This Row],[Tee time1]],'Classic day 1 - groups'!$A$3:$F$20,5,FALSE),"")</f>
        <v/>
      </c>
      <c r="I229" s="69" t="str">
        <f>IFERROR((MAX(starting_interval,IF(Table2[[#This Row],[gap1]]="NA",Table2[[#This Row],[avg gap]],Table2[[#This Row],[gap1]]))-starting_interval)*Table2[[#This Row],[followers1]]/Table2[[#This Row],[group size]],"")</f>
        <v/>
      </c>
      <c r="J229" s="32" t="str">
        <f>_xlfn.IFNA(VLOOKUP(Table2[[#This Row],[Name]],'Classic day 2 - players'!$A$2:$B$64,2,FALSE),"")</f>
        <v/>
      </c>
      <c r="K229" s="4" t="str">
        <f>IF(Table2[[#This Row],[tee time2]]&lt;&gt;"",COUNTIF('Classic day 2 - players'!$B$2:$B$64,"="&amp;Table2[[#This Row],[tee time2]]),"")</f>
        <v/>
      </c>
      <c r="L229" s="4" t="str">
        <f>_xlfn.IFNA(VLOOKUP(Table2[[#This Row],[tee time2]],'Classic day 2 - groups'!$A$3:$F$20,6,FALSE),"")</f>
        <v/>
      </c>
      <c r="M229" s="4" t="str">
        <f>_xlfn.IFNA(VLOOKUP(Table2[[#This Row],[tee time2]],'Classic day 2 - groups'!$A$3:$F$20,4,FALSE),"")</f>
        <v/>
      </c>
      <c r="N229" s="65" t="str">
        <f>_xlfn.IFNA(VLOOKUP(Table2[[#This Row],[tee time2]],'Classic day 2 - groups'!$A$3:$F$20,5,FALSE),"")</f>
        <v/>
      </c>
      <c r="O229" s="69" t="str">
        <f>IFERROR((MAX(starting_interval,IF(Table2[[#This Row],[gap2]]="NA",Table2[[#This Row],[avg gap]],Table2[[#This Row],[gap2]]))-starting_interval)*Table2[[#This Row],[followers2]]/Table2[[#This Row],[group size2]],"")</f>
        <v/>
      </c>
      <c r="P229" s="32" t="str">
        <f>_xlfn.IFNA(VLOOKUP(Table2[[#This Row],[Name]],'Summer FD - players'!$A$2:$B$65,2,FALSE),"")</f>
        <v/>
      </c>
      <c r="Q229" s="59" t="str">
        <f>IF(Table2[[#This Row],[tee time3]]&lt;&gt;"",COUNTIF('Summer FD - players'!$B$2:$B$65,"="&amp;Table2[[#This Row],[tee time3]]),"")</f>
        <v/>
      </c>
      <c r="R229" s="59" t="str">
        <f>_xlfn.IFNA(VLOOKUP(Table2[[#This Row],[tee time3]],'Summer FD - groups'!$A$3:$F$20,6,FALSE),"")</f>
        <v/>
      </c>
      <c r="S229" s="4" t="str">
        <f>_xlfn.IFNA(VLOOKUP(Table2[[#This Row],[tee time3]],'Summer FD - groups'!$A$3:$F$20,4,FALSE),"")</f>
        <v/>
      </c>
      <c r="T229" s="13" t="str">
        <f>_xlfn.IFNA(VLOOKUP(Table2[[#This Row],[tee time3]],'Summer FD - groups'!$A$3:$F$20,5,FALSE),"")</f>
        <v/>
      </c>
      <c r="U229" s="69" t="str">
        <f>IF(Table2[[#This Row],[avg gap]]&lt;&gt;"",IFERROR((MAX(starting_interval,IF(Table2[[#This Row],[gap3]]="NA",Table2[[#This Row],[avg gap]],Table2[[#This Row],[gap3]]))-starting_interval)*Table2[[#This Row],[followers3]]/Table2[[#This Row],[group size3]],""),"")</f>
        <v/>
      </c>
      <c r="V229" s="32" t="str">
        <f>_xlfn.IFNA(VLOOKUP(Table2[[#This Row],[Name]],'6-6-6 - players'!$A$2:$B$69,2,FALSE),"")</f>
        <v/>
      </c>
      <c r="W229" s="59" t="str">
        <f>IF(Table2[[#This Row],[tee time4]]&lt;&gt;"",COUNTIF('6-6-6 - players'!$B$2:$B$69,"="&amp;Table2[[#This Row],[tee time4]]),"")</f>
        <v/>
      </c>
      <c r="X229" s="59" t="str">
        <f>_xlfn.IFNA(VLOOKUP(Table2[[#This Row],[tee time4]],'6-6-6 - groups'!$A$3:$F$20,6,FALSE),"")</f>
        <v/>
      </c>
      <c r="Y229" s="4" t="str">
        <f>_xlfn.IFNA(VLOOKUP(Table2[[#This Row],[tee time4]],'6-6-6 - groups'!$A$3:$F$20,4,FALSE),"")</f>
        <v/>
      </c>
      <c r="Z229" s="13" t="str">
        <f>_xlfn.IFNA(VLOOKUP(Table2[[#This Row],[tee time4]],'6-6-6 - groups'!$A$3:$F$20,5,FALSE),"")</f>
        <v/>
      </c>
      <c r="AA229" s="69" t="str">
        <f>IF(Table2[[#This Row],[avg gap]]&lt;&gt;"",IFERROR((MAX(starting_interval,IF(Table2[[#This Row],[gap4]]="NA",Table2[[#This Row],[avg gap]],Table2[[#This Row],[gap4]]))-starting_interval)*Table2[[#This Row],[followers4]]/Table2[[#This Row],[group size4]],""),"")</f>
        <v/>
      </c>
      <c r="AB229" s="32" t="str">
        <f>_xlfn.IFNA(VLOOKUP(Table2[[#This Row],[Name]],'Fall FD - players'!$A$2:$B$65,2,FALSE),"")</f>
        <v/>
      </c>
      <c r="AC229" s="59" t="str">
        <f>IF(Table2[[#This Row],[tee time5]]&lt;&gt;"",COUNTIF('Fall FD - players'!$B$2:$B$65,"="&amp;Table2[[#This Row],[tee time5]]),"")</f>
        <v/>
      </c>
      <c r="AD229" s="59" t="str">
        <f>_xlfn.IFNA(VLOOKUP(Table2[[#This Row],[tee time5]],'Fall FD - groups'!$A$3:$F$20,6,FALSE),"")</f>
        <v/>
      </c>
      <c r="AE229" s="4" t="str">
        <f>_xlfn.IFNA(VLOOKUP(Table2[[#This Row],[tee time5]],'Fall FD - groups'!$A$3:$F$20,4,FALSE),"")</f>
        <v/>
      </c>
      <c r="AF229" s="13" t="str">
        <f>IFERROR(MIN(_xlfn.IFNA(VLOOKUP(Table2[[#This Row],[tee time5]],'Fall FD - groups'!$A$3:$F$20,5,FALSE),""),starting_interval + Table2[[#This Row],[round5]] - standard_round_time),"")</f>
        <v/>
      </c>
      <c r="AG229" s="69" t="str">
        <f>IF(AND(Table2[[#This Row],[gap5]]="NA",Table2[[#This Row],[round5]]&lt;4/24),0,IFERROR((MAX(starting_interval,IF(Table2[[#This Row],[gap5]]="NA",Table2[[#This Row],[avg gap]],Table2[[#This Row],[gap5]]))-starting_interval)*Table2[[#This Row],[followers5]]/Table2[[#This Row],[group size5]],""))</f>
        <v/>
      </c>
      <c r="AH229" s="32" t="str">
        <f>_xlfn.IFNA(VLOOKUP(Table2[[#This Row],[Name]],'Stableford - players'!$A$2:$B$65,2,FALSE),"")</f>
        <v/>
      </c>
      <c r="AI229" s="59" t="str">
        <f>IF(Table2[[#This Row],[tee time6]]&lt;&gt;"",COUNTIF('Stableford - players'!$B$2:$B$65,"="&amp;Table2[[#This Row],[tee time6]]),"")</f>
        <v/>
      </c>
      <c r="AJ229" s="59" t="str">
        <f>_xlfn.IFNA(VLOOKUP(Table2[[#This Row],[tee time6]],'Stableford - groups'!$A$3:$F$20,6,FALSE),"")</f>
        <v/>
      </c>
      <c r="AK229" s="11" t="str">
        <f>_xlfn.IFNA(VLOOKUP(Table2[[#This Row],[tee time6]],'Stableford - groups'!$A$3:$F$20,4,FALSE),"")</f>
        <v/>
      </c>
      <c r="AL229" s="13" t="str">
        <f>_xlfn.IFNA(VLOOKUP(Table2[[#This Row],[tee time6]],'Stableford - groups'!$A$3:$F$20,5,FALSE),"")</f>
        <v/>
      </c>
      <c r="AM229" s="68" t="str">
        <f>IF(AND(Table2[[#This Row],[gap6]]="NA",Table2[[#This Row],[round6]]&lt;4/24),0,IFERROR((MAX(starting_interval,IF(Table2[[#This Row],[gap6]]="NA",Table2[[#This Row],[avg gap]],Table2[[#This Row],[gap6]]))-starting_interval)*Table2[[#This Row],[followers6]]/Table2[[#This Row],[group size6]],""))</f>
        <v/>
      </c>
      <c r="AN229" s="32" t="str">
        <f>_xlfn.IFNA(VLOOKUP(Table2[[#This Row],[Name]],'Turkey Shoot - players'!$A$2:$B$65,2,FALSE),"")</f>
        <v/>
      </c>
      <c r="AO229" s="59" t="str">
        <f>IF(Table2[[#This Row],[tee time7]]&lt;&gt;"",COUNTIF('Turkey Shoot - players'!$B$2:$B$65,"="&amp;Table2[[#This Row],[tee time7]]),"")</f>
        <v/>
      </c>
      <c r="AP229" s="59" t="str">
        <f>_xlfn.IFNA(VLOOKUP(Table2[[#This Row],[tee time7]],'Stableford - groups'!$A$3:$F$20,6,FALSE),"")</f>
        <v/>
      </c>
      <c r="AQ229" s="11" t="str">
        <f>_xlfn.IFNA(VLOOKUP(Table2[[#This Row],[tee time7]],'Turkey Shoot - groups'!$A$3:$F$20,4,FALSE),"")</f>
        <v/>
      </c>
      <c r="AR229" s="13" t="str">
        <f>_xlfn.IFNA(VLOOKUP(Table2[[#This Row],[tee time7]],'Turkey Shoot - groups'!$A$3:$F$20,5,FALSE),"")</f>
        <v/>
      </c>
      <c r="AS229" s="68" t="str">
        <f>IF(AND(Table2[[#This Row],[gap7]]="NA",Table2[[#This Row],[round7]]&lt;4/24),0,IFERROR((MAX(starting_interval,IF(Table2[[#This Row],[gap7]]="NA",Table2[[#This Row],[avg gap]],Table2[[#This Row],[gap7]]))-starting_interval)*Table2[[#This Row],[followers7]]/Table2[[#This Row],[group size7]],""))</f>
        <v/>
      </c>
      <c r="AT229" s="72">
        <f>COUNT(Table2[[#This Row],[Tee time1]],Table2[[#This Row],[tee time2]],Table2[[#This Row],[tee time3]],Table2[[#This Row],[tee time4]],Table2[[#This Row],[tee time5]],Table2[[#This Row],[tee time6]],Table2[[#This Row],[tee time7]])</f>
        <v>0</v>
      </c>
      <c r="AU229" s="4" t="str">
        <f>IFERROR(AVERAGE(Table2[[#This Row],[Tee time1]],Table2[[#This Row],[tee time2]],Table2[[#This Row],[tee time3]],Table2[[#This Row],[tee time4]],Table2[[#This Row],[tee time5]],Table2[[#This Row],[tee time6]],Table2[[#This Row],[tee time7]]),"")</f>
        <v/>
      </c>
      <c r="AV229" s="11" t="str">
        <f>IFERROR(MEDIAN(Table2[[#This Row],[round1]],Table2[[#This Row],[Round2]],Table2[[#This Row],[round3]],Table2[[#This Row],[round4]],Table2[[#This Row],[round5]],Table2[[#This Row],[round6]],Table2[[#This Row],[round7]]),"")</f>
        <v/>
      </c>
      <c r="AW229" s="11" t="str">
        <f>IFERROR(AVERAGE(Table2[[#This Row],[gap1]],Table2[[#This Row],[gap2]],Table2[[#This Row],[gap3]],Table2[[#This Row],[gap4]],Table2[[#This Row],[gap5]],Table2[[#This Row],[gap6]],Table2[[#This Row],[gap7]]),"")</f>
        <v/>
      </c>
      <c r="AX229" s="9" t="str">
        <f>IFERROR((Table2[[#This Row],[avg gap]]-starting_interval)*24*60*Table2[[#This Row],[Count]],"NA")</f>
        <v>NA</v>
      </c>
      <c r="AY229"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29" s="2"/>
    </row>
    <row r="230" spans="1:52" hidden="1" x14ac:dyDescent="0.3">
      <c r="A230" s="10" t="s">
        <v>212</v>
      </c>
      <c r="B230" s="1" t="s">
        <v>453</v>
      </c>
      <c r="C230" s="19">
        <v>15.3</v>
      </c>
      <c r="D230" s="32" t="str">
        <f>_xlfn.IFNA(VLOOKUP(Table2[[#This Row],[Name]],'Classic day 1 - players'!$A$2:$B$64,2,FALSE),"")</f>
        <v/>
      </c>
      <c r="E230" s="33" t="str">
        <f>IF(Table2[[#This Row],[Tee time1]]&lt;&gt;"",COUNTIF('Classic day 1 - players'!$B$2:$B$64,"="&amp;Table2[[#This Row],[Tee time1]]),"")</f>
        <v/>
      </c>
      <c r="F230" s="4" t="str">
        <f>_xlfn.IFNA(VLOOKUP(Table2[[#This Row],[Tee time1]],'Classic day 1 - groups'!$A$3:$F$20,6,FALSE),"")</f>
        <v/>
      </c>
      <c r="G230" s="11" t="str">
        <f>_xlfn.IFNA(VLOOKUP(Table2[[#This Row],[Tee time1]],'Classic day 1 - groups'!$A$3:$F$20,4,FALSE),"")</f>
        <v/>
      </c>
      <c r="H230" s="12" t="str">
        <f>_xlfn.IFNA(VLOOKUP(Table2[[#This Row],[Tee time1]],'Classic day 1 - groups'!$A$3:$F$20,5,FALSE),"")</f>
        <v/>
      </c>
      <c r="I230" s="69" t="str">
        <f>IFERROR((MAX(starting_interval,IF(Table2[[#This Row],[gap1]]="NA",Table2[[#This Row],[avg gap]],Table2[[#This Row],[gap1]]))-starting_interval)*Table2[[#This Row],[followers1]]/Table2[[#This Row],[group size]],"")</f>
        <v/>
      </c>
      <c r="J230" s="32" t="str">
        <f>_xlfn.IFNA(VLOOKUP(Table2[[#This Row],[Name]],'Classic day 2 - players'!$A$2:$B$64,2,FALSE),"")</f>
        <v/>
      </c>
      <c r="K230" s="4" t="str">
        <f>IF(Table2[[#This Row],[tee time2]]&lt;&gt;"",COUNTIF('Classic day 2 - players'!$B$2:$B$64,"="&amp;Table2[[#This Row],[tee time2]]),"")</f>
        <v/>
      </c>
      <c r="L230" s="4" t="str">
        <f>_xlfn.IFNA(VLOOKUP(Table2[[#This Row],[tee time2]],'Classic day 2 - groups'!$A$3:$F$20,6,FALSE),"")</f>
        <v/>
      </c>
      <c r="M230" s="4" t="str">
        <f>_xlfn.IFNA(VLOOKUP(Table2[[#This Row],[tee time2]],'Classic day 2 - groups'!$A$3:$F$20,4,FALSE),"")</f>
        <v/>
      </c>
      <c r="N230" s="65" t="str">
        <f>_xlfn.IFNA(VLOOKUP(Table2[[#This Row],[tee time2]],'Classic day 2 - groups'!$A$3:$F$20,5,FALSE),"")</f>
        <v/>
      </c>
      <c r="O230" s="69" t="str">
        <f>IFERROR((MAX(starting_interval,IF(Table2[[#This Row],[gap2]]="NA",Table2[[#This Row],[avg gap]],Table2[[#This Row],[gap2]]))-starting_interval)*Table2[[#This Row],[followers2]]/Table2[[#This Row],[group size2]],"")</f>
        <v/>
      </c>
      <c r="P230" s="32" t="str">
        <f>_xlfn.IFNA(VLOOKUP(Table2[[#This Row],[Name]],'Summer FD - players'!$A$2:$B$65,2,FALSE),"")</f>
        <v/>
      </c>
      <c r="Q230" s="59" t="str">
        <f>IF(Table2[[#This Row],[tee time3]]&lt;&gt;"",COUNTIF('Summer FD - players'!$B$2:$B$65,"="&amp;Table2[[#This Row],[tee time3]]),"")</f>
        <v/>
      </c>
      <c r="R230" s="59" t="str">
        <f>_xlfn.IFNA(VLOOKUP(Table2[[#This Row],[tee time3]],'Summer FD - groups'!$A$3:$F$20,6,FALSE),"")</f>
        <v/>
      </c>
      <c r="S230" s="4" t="str">
        <f>_xlfn.IFNA(VLOOKUP(Table2[[#This Row],[tee time3]],'Summer FD - groups'!$A$3:$F$20,4,FALSE),"")</f>
        <v/>
      </c>
      <c r="T230" s="13" t="str">
        <f>_xlfn.IFNA(VLOOKUP(Table2[[#This Row],[tee time3]],'Summer FD - groups'!$A$3:$F$20,5,FALSE),"")</f>
        <v/>
      </c>
      <c r="U230" s="69" t="str">
        <f>IF(Table2[[#This Row],[avg gap]]&lt;&gt;"",IFERROR((MAX(starting_interval,IF(Table2[[#This Row],[gap3]]="NA",Table2[[#This Row],[avg gap]],Table2[[#This Row],[gap3]]))-starting_interval)*Table2[[#This Row],[followers3]]/Table2[[#This Row],[group size3]],""),"")</f>
        <v/>
      </c>
      <c r="V230" s="32" t="str">
        <f>_xlfn.IFNA(VLOOKUP(Table2[[#This Row],[Name]],'6-6-6 - players'!$A$2:$B$69,2,FALSE),"")</f>
        <v/>
      </c>
      <c r="W230" s="59" t="str">
        <f>IF(Table2[[#This Row],[tee time4]]&lt;&gt;"",COUNTIF('6-6-6 - players'!$B$2:$B$69,"="&amp;Table2[[#This Row],[tee time4]]),"")</f>
        <v/>
      </c>
      <c r="X230" s="59" t="str">
        <f>_xlfn.IFNA(VLOOKUP(Table2[[#This Row],[tee time4]],'6-6-6 - groups'!$A$3:$F$20,6,FALSE),"")</f>
        <v/>
      </c>
      <c r="Y230" s="4" t="str">
        <f>_xlfn.IFNA(VLOOKUP(Table2[[#This Row],[tee time4]],'6-6-6 - groups'!$A$3:$F$20,4,FALSE),"")</f>
        <v/>
      </c>
      <c r="Z230" s="13" t="str">
        <f>_xlfn.IFNA(VLOOKUP(Table2[[#This Row],[tee time4]],'6-6-6 - groups'!$A$3:$F$20,5,FALSE),"")</f>
        <v/>
      </c>
      <c r="AA230" s="69" t="str">
        <f>IF(Table2[[#This Row],[avg gap]]&lt;&gt;"",IFERROR((MAX(starting_interval,IF(Table2[[#This Row],[gap4]]="NA",Table2[[#This Row],[avg gap]],Table2[[#This Row],[gap4]]))-starting_interval)*Table2[[#This Row],[followers4]]/Table2[[#This Row],[group size4]],""),"")</f>
        <v/>
      </c>
      <c r="AB230" s="32" t="str">
        <f>_xlfn.IFNA(VLOOKUP(Table2[[#This Row],[Name]],'Fall FD - players'!$A$2:$B$65,2,FALSE),"")</f>
        <v/>
      </c>
      <c r="AC230" s="59" t="str">
        <f>IF(Table2[[#This Row],[tee time5]]&lt;&gt;"",COUNTIF('Fall FD - players'!$B$2:$B$65,"="&amp;Table2[[#This Row],[tee time5]]),"")</f>
        <v/>
      </c>
      <c r="AD230" s="59" t="str">
        <f>_xlfn.IFNA(VLOOKUP(Table2[[#This Row],[tee time5]],'Fall FD - groups'!$A$3:$F$20,6,FALSE),"")</f>
        <v/>
      </c>
      <c r="AE230" s="4" t="str">
        <f>_xlfn.IFNA(VLOOKUP(Table2[[#This Row],[tee time5]],'Fall FD - groups'!$A$3:$F$20,4,FALSE),"")</f>
        <v/>
      </c>
      <c r="AF230" s="13" t="str">
        <f>IFERROR(MIN(_xlfn.IFNA(VLOOKUP(Table2[[#This Row],[tee time5]],'Fall FD - groups'!$A$3:$F$20,5,FALSE),""),starting_interval + Table2[[#This Row],[round5]] - standard_round_time),"")</f>
        <v/>
      </c>
      <c r="AG230" s="69" t="str">
        <f>IF(AND(Table2[[#This Row],[gap5]]="NA",Table2[[#This Row],[round5]]&lt;4/24),0,IFERROR((MAX(starting_interval,IF(Table2[[#This Row],[gap5]]="NA",Table2[[#This Row],[avg gap]],Table2[[#This Row],[gap5]]))-starting_interval)*Table2[[#This Row],[followers5]]/Table2[[#This Row],[group size5]],""))</f>
        <v/>
      </c>
      <c r="AH230" s="32" t="str">
        <f>_xlfn.IFNA(VLOOKUP(Table2[[#This Row],[Name]],'Stableford - players'!$A$2:$B$65,2,FALSE),"")</f>
        <v/>
      </c>
      <c r="AI230" s="59" t="str">
        <f>IF(Table2[[#This Row],[tee time6]]&lt;&gt;"",COUNTIF('Stableford - players'!$B$2:$B$65,"="&amp;Table2[[#This Row],[tee time6]]),"")</f>
        <v/>
      </c>
      <c r="AJ230" s="59" t="str">
        <f>_xlfn.IFNA(VLOOKUP(Table2[[#This Row],[tee time6]],'Stableford - groups'!$A$3:$F$20,6,FALSE),"")</f>
        <v/>
      </c>
      <c r="AK230" s="11" t="str">
        <f>_xlfn.IFNA(VLOOKUP(Table2[[#This Row],[tee time6]],'Stableford - groups'!$A$3:$F$20,4,FALSE),"")</f>
        <v/>
      </c>
      <c r="AL230" s="13" t="str">
        <f>_xlfn.IFNA(VLOOKUP(Table2[[#This Row],[tee time6]],'Stableford - groups'!$A$3:$F$20,5,FALSE),"")</f>
        <v/>
      </c>
      <c r="AM230" s="68" t="str">
        <f>IF(AND(Table2[[#This Row],[gap6]]="NA",Table2[[#This Row],[round6]]&lt;4/24),0,IFERROR((MAX(starting_interval,IF(Table2[[#This Row],[gap6]]="NA",Table2[[#This Row],[avg gap]],Table2[[#This Row],[gap6]]))-starting_interval)*Table2[[#This Row],[followers6]]/Table2[[#This Row],[group size6]],""))</f>
        <v/>
      </c>
      <c r="AN230" s="32" t="str">
        <f>_xlfn.IFNA(VLOOKUP(Table2[[#This Row],[Name]],'Turkey Shoot - players'!$A$2:$B$65,2,FALSE),"")</f>
        <v/>
      </c>
      <c r="AO230" s="59" t="str">
        <f>IF(Table2[[#This Row],[tee time7]]&lt;&gt;"",COUNTIF('Turkey Shoot - players'!$B$2:$B$65,"="&amp;Table2[[#This Row],[tee time7]]),"")</f>
        <v/>
      </c>
      <c r="AP230" s="59" t="str">
        <f>_xlfn.IFNA(VLOOKUP(Table2[[#This Row],[tee time7]],'Stableford - groups'!$A$3:$F$20,6,FALSE),"")</f>
        <v/>
      </c>
      <c r="AQ230" s="11" t="str">
        <f>_xlfn.IFNA(VLOOKUP(Table2[[#This Row],[tee time7]],'Turkey Shoot - groups'!$A$3:$F$20,4,FALSE),"")</f>
        <v/>
      </c>
      <c r="AR230" s="13" t="str">
        <f>_xlfn.IFNA(VLOOKUP(Table2[[#This Row],[tee time7]],'Turkey Shoot - groups'!$A$3:$F$20,5,FALSE),"")</f>
        <v/>
      </c>
      <c r="AS230" s="68" t="str">
        <f>IF(AND(Table2[[#This Row],[gap7]]="NA",Table2[[#This Row],[round7]]&lt;4/24),0,IFERROR((MAX(starting_interval,IF(Table2[[#This Row],[gap7]]="NA",Table2[[#This Row],[avg gap]],Table2[[#This Row],[gap7]]))-starting_interval)*Table2[[#This Row],[followers7]]/Table2[[#This Row],[group size7]],""))</f>
        <v/>
      </c>
      <c r="AT230" s="72">
        <f>COUNT(Table2[[#This Row],[Tee time1]],Table2[[#This Row],[tee time2]],Table2[[#This Row],[tee time3]],Table2[[#This Row],[tee time4]],Table2[[#This Row],[tee time5]],Table2[[#This Row],[tee time6]],Table2[[#This Row],[tee time7]])</f>
        <v>0</v>
      </c>
      <c r="AU230" s="4" t="str">
        <f>IFERROR(AVERAGE(Table2[[#This Row],[Tee time1]],Table2[[#This Row],[tee time2]],Table2[[#This Row],[tee time3]],Table2[[#This Row],[tee time4]],Table2[[#This Row],[tee time5]],Table2[[#This Row],[tee time6]],Table2[[#This Row],[tee time7]]),"")</f>
        <v/>
      </c>
      <c r="AV230" s="11" t="str">
        <f>IFERROR(MEDIAN(Table2[[#This Row],[round1]],Table2[[#This Row],[Round2]],Table2[[#This Row],[round3]],Table2[[#This Row],[round4]],Table2[[#This Row],[round5]],Table2[[#This Row],[round6]],Table2[[#This Row],[round7]]),"")</f>
        <v/>
      </c>
      <c r="AW230" s="11" t="str">
        <f>IFERROR(AVERAGE(Table2[[#This Row],[gap1]],Table2[[#This Row],[gap2]],Table2[[#This Row],[gap3]],Table2[[#This Row],[gap4]],Table2[[#This Row],[gap5]],Table2[[#This Row],[gap6]],Table2[[#This Row],[gap7]]),"")</f>
        <v/>
      </c>
      <c r="AX230" s="9" t="str">
        <f>IFERROR((Table2[[#This Row],[avg gap]]-starting_interval)*24*60*Table2[[#This Row],[Count]],"NA")</f>
        <v>NA</v>
      </c>
      <c r="AY230"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30" s="2"/>
    </row>
    <row r="231" spans="1:52" hidden="1" x14ac:dyDescent="0.3">
      <c r="A231" s="10" t="s">
        <v>213</v>
      </c>
      <c r="B231" s="1" t="s">
        <v>454</v>
      </c>
      <c r="C231" s="19">
        <v>5.0999999999999996</v>
      </c>
      <c r="D231" s="32" t="str">
        <f>_xlfn.IFNA(VLOOKUP(Table2[[#This Row],[Name]],'Classic day 1 - players'!$A$2:$B$64,2,FALSE),"")</f>
        <v/>
      </c>
      <c r="E231" s="33" t="str">
        <f>IF(Table2[[#This Row],[Tee time1]]&lt;&gt;"",COUNTIF('Classic day 1 - players'!$B$2:$B$64,"="&amp;Table2[[#This Row],[Tee time1]]),"")</f>
        <v/>
      </c>
      <c r="F231" s="4" t="str">
        <f>_xlfn.IFNA(VLOOKUP(Table2[[#This Row],[Tee time1]],'Classic day 1 - groups'!$A$3:$F$20,6,FALSE),"")</f>
        <v/>
      </c>
      <c r="G231" s="11" t="str">
        <f>_xlfn.IFNA(VLOOKUP(Table2[[#This Row],[Tee time1]],'Classic day 1 - groups'!$A$3:$F$20,4,FALSE),"")</f>
        <v/>
      </c>
      <c r="H231" s="12" t="str">
        <f>_xlfn.IFNA(VLOOKUP(Table2[[#This Row],[Tee time1]],'Classic day 1 - groups'!$A$3:$F$20,5,FALSE),"")</f>
        <v/>
      </c>
      <c r="I231" s="69" t="str">
        <f>IFERROR((MAX(starting_interval,IF(Table2[[#This Row],[gap1]]="NA",Table2[[#This Row],[avg gap]],Table2[[#This Row],[gap1]]))-starting_interval)*Table2[[#This Row],[followers1]]/Table2[[#This Row],[group size]],"")</f>
        <v/>
      </c>
      <c r="J231" s="32" t="str">
        <f>_xlfn.IFNA(VLOOKUP(Table2[[#This Row],[Name]],'Classic day 2 - players'!$A$2:$B$64,2,FALSE),"")</f>
        <v/>
      </c>
      <c r="K231" s="4" t="str">
        <f>IF(Table2[[#This Row],[tee time2]]&lt;&gt;"",COUNTIF('Classic day 2 - players'!$B$2:$B$64,"="&amp;Table2[[#This Row],[tee time2]]),"")</f>
        <v/>
      </c>
      <c r="L231" s="4" t="str">
        <f>_xlfn.IFNA(VLOOKUP(Table2[[#This Row],[tee time2]],'Classic day 2 - groups'!$A$3:$F$20,6,FALSE),"")</f>
        <v/>
      </c>
      <c r="M231" s="4" t="str">
        <f>_xlfn.IFNA(VLOOKUP(Table2[[#This Row],[tee time2]],'Classic day 2 - groups'!$A$3:$F$20,4,FALSE),"")</f>
        <v/>
      </c>
      <c r="N231" s="65" t="str">
        <f>_xlfn.IFNA(VLOOKUP(Table2[[#This Row],[tee time2]],'Classic day 2 - groups'!$A$3:$F$20,5,FALSE),"")</f>
        <v/>
      </c>
      <c r="O231" s="69" t="str">
        <f>IFERROR((MAX(starting_interval,IF(Table2[[#This Row],[gap2]]="NA",Table2[[#This Row],[avg gap]],Table2[[#This Row],[gap2]]))-starting_interval)*Table2[[#This Row],[followers2]]/Table2[[#This Row],[group size2]],"")</f>
        <v/>
      </c>
      <c r="P231" s="32" t="str">
        <f>_xlfn.IFNA(VLOOKUP(Table2[[#This Row],[Name]],'Summer FD - players'!$A$2:$B$65,2,FALSE),"")</f>
        <v/>
      </c>
      <c r="Q231" s="59" t="str">
        <f>IF(Table2[[#This Row],[tee time3]]&lt;&gt;"",COUNTIF('Summer FD - players'!$B$2:$B$65,"="&amp;Table2[[#This Row],[tee time3]]),"")</f>
        <v/>
      </c>
      <c r="R231" s="59" t="str">
        <f>_xlfn.IFNA(VLOOKUP(Table2[[#This Row],[tee time3]],'Summer FD - groups'!$A$3:$F$20,6,FALSE),"")</f>
        <v/>
      </c>
      <c r="S231" s="4" t="str">
        <f>_xlfn.IFNA(VLOOKUP(Table2[[#This Row],[tee time3]],'Summer FD - groups'!$A$3:$F$20,4,FALSE),"")</f>
        <v/>
      </c>
      <c r="T231" s="13" t="str">
        <f>_xlfn.IFNA(VLOOKUP(Table2[[#This Row],[tee time3]],'Summer FD - groups'!$A$3:$F$20,5,FALSE),"")</f>
        <v/>
      </c>
      <c r="U231" s="69" t="str">
        <f>IF(Table2[[#This Row],[avg gap]]&lt;&gt;"",IFERROR((MAX(starting_interval,IF(Table2[[#This Row],[gap3]]="NA",Table2[[#This Row],[avg gap]],Table2[[#This Row],[gap3]]))-starting_interval)*Table2[[#This Row],[followers3]]/Table2[[#This Row],[group size3]],""),"")</f>
        <v/>
      </c>
      <c r="V231" s="32" t="str">
        <f>_xlfn.IFNA(VLOOKUP(Table2[[#This Row],[Name]],'6-6-6 - players'!$A$2:$B$69,2,FALSE),"")</f>
        <v/>
      </c>
      <c r="W231" s="59" t="str">
        <f>IF(Table2[[#This Row],[tee time4]]&lt;&gt;"",COUNTIF('6-6-6 - players'!$B$2:$B$69,"="&amp;Table2[[#This Row],[tee time4]]),"")</f>
        <v/>
      </c>
      <c r="X231" s="59" t="str">
        <f>_xlfn.IFNA(VLOOKUP(Table2[[#This Row],[tee time4]],'6-6-6 - groups'!$A$3:$F$20,6,FALSE),"")</f>
        <v/>
      </c>
      <c r="Y231" s="4" t="str">
        <f>_xlfn.IFNA(VLOOKUP(Table2[[#This Row],[tee time4]],'6-6-6 - groups'!$A$3:$F$20,4,FALSE),"")</f>
        <v/>
      </c>
      <c r="Z231" s="13" t="str">
        <f>_xlfn.IFNA(VLOOKUP(Table2[[#This Row],[tee time4]],'6-6-6 - groups'!$A$3:$F$20,5,FALSE),"")</f>
        <v/>
      </c>
      <c r="AA231" s="69" t="str">
        <f>IF(Table2[[#This Row],[avg gap]]&lt;&gt;"",IFERROR((MAX(starting_interval,IF(Table2[[#This Row],[gap4]]="NA",Table2[[#This Row],[avg gap]],Table2[[#This Row],[gap4]]))-starting_interval)*Table2[[#This Row],[followers4]]/Table2[[#This Row],[group size4]],""),"")</f>
        <v/>
      </c>
      <c r="AB231" s="32" t="str">
        <f>_xlfn.IFNA(VLOOKUP(Table2[[#This Row],[Name]],'Fall FD - players'!$A$2:$B$65,2,FALSE),"")</f>
        <v/>
      </c>
      <c r="AC231" s="59" t="str">
        <f>IF(Table2[[#This Row],[tee time5]]&lt;&gt;"",COUNTIF('Fall FD - players'!$B$2:$B$65,"="&amp;Table2[[#This Row],[tee time5]]),"")</f>
        <v/>
      </c>
      <c r="AD231" s="59" t="str">
        <f>_xlfn.IFNA(VLOOKUP(Table2[[#This Row],[tee time5]],'Fall FD - groups'!$A$3:$F$20,6,FALSE),"")</f>
        <v/>
      </c>
      <c r="AE231" s="4" t="str">
        <f>_xlfn.IFNA(VLOOKUP(Table2[[#This Row],[tee time5]],'Fall FD - groups'!$A$3:$F$20,4,FALSE),"")</f>
        <v/>
      </c>
      <c r="AF231" s="13" t="str">
        <f>IFERROR(MIN(_xlfn.IFNA(VLOOKUP(Table2[[#This Row],[tee time5]],'Fall FD - groups'!$A$3:$F$20,5,FALSE),""),starting_interval + Table2[[#This Row],[round5]] - standard_round_time),"")</f>
        <v/>
      </c>
      <c r="AG231" s="69" t="str">
        <f>IF(AND(Table2[[#This Row],[gap5]]="NA",Table2[[#This Row],[round5]]&lt;4/24),0,IFERROR((MAX(starting_interval,IF(Table2[[#This Row],[gap5]]="NA",Table2[[#This Row],[avg gap]],Table2[[#This Row],[gap5]]))-starting_interval)*Table2[[#This Row],[followers5]]/Table2[[#This Row],[group size5]],""))</f>
        <v/>
      </c>
      <c r="AH231" s="32" t="str">
        <f>_xlfn.IFNA(VLOOKUP(Table2[[#This Row],[Name]],'Stableford - players'!$A$2:$B$65,2,FALSE),"")</f>
        <v/>
      </c>
      <c r="AI231" s="59" t="str">
        <f>IF(Table2[[#This Row],[tee time6]]&lt;&gt;"",COUNTIF('Stableford - players'!$B$2:$B$65,"="&amp;Table2[[#This Row],[tee time6]]),"")</f>
        <v/>
      </c>
      <c r="AJ231" s="59" t="str">
        <f>_xlfn.IFNA(VLOOKUP(Table2[[#This Row],[tee time6]],'Stableford - groups'!$A$3:$F$20,6,FALSE),"")</f>
        <v/>
      </c>
      <c r="AK231" s="11" t="str">
        <f>_xlfn.IFNA(VLOOKUP(Table2[[#This Row],[tee time6]],'Stableford - groups'!$A$3:$F$20,4,FALSE),"")</f>
        <v/>
      </c>
      <c r="AL231" s="13" t="str">
        <f>_xlfn.IFNA(VLOOKUP(Table2[[#This Row],[tee time6]],'Stableford - groups'!$A$3:$F$20,5,FALSE),"")</f>
        <v/>
      </c>
      <c r="AM231" s="68" t="str">
        <f>IF(AND(Table2[[#This Row],[gap6]]="NA",Table2[[#This Row],[round6]]&lt;4/24),0,IFERROR((MAX(starting_interval,IF(Table2[[#This Row],[gap6]]="NA",Table2[[#This Row],[avg gap]],Table2[[#This Row],[gap6]]))-starting_interval)*Table2[[#This Row],[followers6]]/Table2[[#This Row],[group size6]],""))</f>
        <v/>
      </c>
      <c r="AN231" s="32" t="str">
        <f>_xlfn.IFNA(VLOOKUP(Table2[[#This Row],[Name]],'Turkey Shoot - players'!$A$2:$B$65,2,FALSE),"")</f>
        <v/>
      </c>
      <c r="AO231" s="59" t="str">
        <f>IF(Table2[[#This Row],[tee time7]]&lt;&gt;"",COUNTIF('Turkey Shoot - players'!$B$2:$B$65,"="&amp;Table2[[#This Row],[tee time7]]),"")</f>
        <v/>
      </c>
      <c r="AP231" s="59" t="str">
        <f>_xlfn.IFNA(VLOOKUP(Table2[[#This Row],[tee time7]],'Stableford - groups'!$A$3:$F$20,6,FALSE),"")</f>
        <v/>
      </c>
      <c r="AQ231" s="11" t="str">
        <f>_xlfn.IFNA(VLOOKUP(Table2[[#This Row],[tee time7]],'Turkey Shoot - groups'!$A$3:$F$20,4,FALSE),"")</f>
        <v/>
      </c>
      <c r="AR231" s="13" t="str">
        <f>_xlfn.IFNA(VLOOKUP(Table2[[#This Row],[tee time7]],'Turkey Shoot - groups'!$A$3:$F$20,5,FALSE),"")</f>
        <v/>
      </c>
      <c r="AS231" s="68" t="str">
        <f>IF(AND(Table2[[#This Row],[gap7]]="NA",Table2[[#This Row],[round7]]&lt;4/24),0,IFERROR((MAX(starting_interval,IF(Table2[[#This Row],[gap7]]="NA",Table2[[#This Row],[avg gap]],Table2[[#This Row],[gap7]]))-starting_interval)*Table2[[#This Row],[followers7]]/Table2[[#This Row],[group size7]],""))</f>
        <v/>
      </c>
      <c r="AT231" s="72">
        <f>COUNT(Table2[[#This Row],[Tee time1]],Table2[[#This Row],[tee time2]],Table2[[#This Row],[tee time3]],Table2[[#This Row],[tee time4]],Table2[[#This Row],[tee time5]],Table2[[#This Row],[tee time6]],Table2[[#This Row],[tee time7]])</f>
        <v>0</v>
      </c>
      <c r="AU231" s="4" t="str">
        <f>IFERROR(AVERAGE(Table2[[#This Row],[Tee time1]],Table2[[#This Row],[tee time2]],Table2[[#This Row],[tee time3]],Table2[[#This Row],[tee time4]],Table2[[#This Row],[tee time5]],Table2[[#This Row],[tee time6]],Table2[[#This Row],[tee time7]]),"")</f>
        <v/>
      </c>
      <c r="AV231" s="11" t="str">
        <f>IFERROR(MEDIAN(Table2[[#This Row],[round1]],Table2[[#This Row],[Round2]],Table2[[#This Row],[round3]],Table2[[#This Row],[round4]],Table2[[#This Row],[round5]],Table2[[#This Row],[round6]],Table2[[#This Row],[round7]]),"")</f>
        <v/>
      </c>
      <c r="AW231" s="11" t="str">
        <f>IFERROR(AVERAGE(Table2[[#This Row],[gap1]],Table2[[#This Row],[gap2]],Table2[[#This Row],[gap3]],Table2[[#This Row],[gap4]],Table2[[#This Row],[gap5]],Table2[[#This Row],[gap6]],Table2[[#This Row],[gap7]]),"")</f>
        <v/>
      </c>
      <c r="AX231" s="9" t="str">
        <f>IFERROR((Table2[[#This Row],[avg gap]]-starting_interval)*24*60*Table2[[#This Row],[Count]],"NA")</f>
        <v>NA</v>
      </c>
      <c r="AY231"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31" s="2"/>
    </row>
    <row r="232" spans="1:52" hidden="1" x14ac:dyDescent="0.3">
      <c r="A232" s="10" t="s">
        <v>214</v>
      </c>
      <c r="B232" s="1" t="s">
        <v>455</v>
      </c>
      <c r="C232" s="19">
        <v>18.899999999999999</v>
      </c>
      <c r="D232" s="32" t="str">
        <f>_xlfn.IFNA(VLOOKUP(Table2[[#This Row],[Name]],'Classic day 1 - players'!$A$2:$B$64,2,FALSE),"")</f>
        <v/>
      </c>
      <c r="E232" s="33" t="str">
        <f>IF(Table2[[#This Row],[Tee time1]]&lt;&gt;"",COUNTIF('Classic day 1 - players'!$B$2:$B$64,"="&amp;Table2[[#This Row],[Tee time1]]),"")</f>
        <v/>
      </c>
      <c r="F232" s="4" t="str">
        <f>_xlfn.IFNA(VLOOKUP(Table2[[#This Row],[Tee time1]],'Classic day 1 - groups'!$A$3:$F$20,6,FALSE),"")</f>
        <v/>
      </c>
      <c r="G232" s="11" t="str">
        <f>_xlfn.IFNA(VLOOKUP(Table2[[#This Row],[Tee time1]],'Classic day 1 - groups'!$A$3:$F$20,4,FALSE),"")</f>
        <v/>
      </c>
      <c r="H232" s="12" t="str">
        <f>_xlfn.IFNA(VLOOKUP(Table2[[#This Row],[Tee time1]],'Classic day 1 - groups'!$A$3:$F$20,5,FALSE),"")</f>
        <v/>
      </c>
      <c r="I232" s="69" t="str">
        <f>IFERROR((MAX(starting_interval,IF(Table2[[#This Row],[gap1]]="NA",Table2[[#This Row],[avg gap]],Table2[[#This Row],[gap1]]))-starting_interval)*Table2[[#This Row],[followers1]]/Table2[[#This Row],[group size]],"")</f>
        <v/>
      </c>
      <c r="J232" s="32" t="str">
        <f>_xlfn.IFNA(VLOOKUP(Table2[[#This Row],[Name]],'Classic day 2 - players'!$A$2:$B$64,2,FALSE),"")</f>
        <v/>
      </c>
      <c r="K232" s="4" t="str">
        <f>IF(Table2[[#This Row],[tee time2]]&lt;&gt;"",COUNTIF('Classic day 2 - players'!$B$2:$B$64,"="&amp;Table2[[#This Row],[tee time2]]),"")</f>
        <v/>
      </c>
      <c r="L232" s="4" t="str">
        <f>_xlfn.IFNA(VLOOKUP(Table2[[#This Row],[tee time2]],'Classic day 2 - groups'!$A$3:$F$20,6,FALSE),"")</f>
        <v/>
      </c>
      <c r="M232" s="4" t="str">
        <f>_xlfn.IFNA(VLOOKUP(Table2[[#This Row],[tee time2]],'Classic day 2 - groups'!$A$3:$F$20,4,FALSE),"")</f>
        <v/>
      </c>
      <c r="N232" s="65" t="str">
        <f>_xlfn.IFNA(VLOOKUP(Table2[[#This Row],[tee time2]],'Classic day 2 - groups'!$A$3:$F$20,5,FALSE),"")</f>
        <v/>
      </c>
      <c r="O232" s="69" t="str">
        <f>IFERROR((MAX(starting_interval,IF(Table2[[#This Row],[gap2]]="NA",Table2[[#This Row],[avg gap]],Table2[[#This Row],[gap2]]))-starting_interval)*Table2[[#This Row],[followers2]]/Table2[[#This Row],[group size2]],"")</f>
        <v/>
      </c>
      <c r="P232" s="32" t="str">
        <f>_xlfn.IFNA(VLOOKUP(Table2[[#This Row],[Name]],'Summer FD - players'!$A$2:$B$65,2,FALSE),"")</f>
        <v/>
      </c>
      <c r="Q232" s="59" t="str">
        <f>IF(Table2[[#This Row],[tee time3]]&lt;&gt;"",COUNTIF('Summer FD - players'!$B$2:$B$65,"="&amp;Table2[[#This Row],[tee time3]]),"")</f>
        <v/>
      </c>
      <c r="R232" s="59" t="str">
        <f>_xlfn.IFNA(VLOOKUP(Table2[[#This Row],[tee time3]],'Summer FD - groups'!$A$3:$F$20,6,FALSE),"")</f>
        <v/>
      </c>
      <c r="S232" s="4" t="str">
        <f>_xlfn.IFNA(VLOOKUP(Table2[[#This Row],[tee time3]],'Summer FD - groups'!$A$3:$F$20,4,FALSE),"")</f>
        <v/>
      </c>
      <c r="T232" s="13" t="str">
        <f>_xlfn.IFNA(VLOOKUP(Table2[[#This Row],[tee time3]],'Summer FD - groups'!$A$3:$F$20,5,FALSE),"")</f>
        <v/>
      </c>
      <c r="U232" s="69" t="str">
        <f>IF(Table2[[#This Row],[avg gap]]&lt;&gt;"",IFERROR((MAX(starting_interval,IF(Table2[[#This Row],[gap3]]="NA",Table2[[#This Row],[avg gap]],Table2[[#This Row],[gap3]]))-starting_interval)*Table2[[#This Row],[followers3]]/Table2[[#This Row],[group size3]],""),"")</f>
        <v/>
      </c>
      <c r="V232" s="32" t="str">
        <f>_xlfn.IFNA(VLOOKUP(Table2[[#This Row],[Name]],'6-6-6 - players'!$A$2:$B$69,2,FALSE),"")</f>
        <v/>
      </c>
      <c r="W232" s="59" t="str">
        <f>IF(Table2[[#This Row],[tee time4]]&lt;&gt;"",COUNTIF('6-6-6 - players'!$B$2:$B$69,"="&amp;Table2[[#This Row],[tee time4]]),"")</f>
        <v/>
      </c>
      <c r="X232" s="59" t="str">
        <f>_xlfn.IFNA(VLOOKUP(Table2[[#This Row],[tee time4]],'6-6-6 - groups'!$A$3:$F$20,6,FALSE),"")</f>
        <v/>
      </c>
      <c r="Y232" s="4" t="str">
        <f>_xlfn.IFNA(VLOOKUP(Table2[[#This Row],[tee time4]],'6-6-6 - groups'!$A$3:$F$20,4,FALSE),"")</f>
        <v/>
      </c>
      <c r="Z232" s="13" t="str">
        <f>_xlfn.IFNA(VLOOKUP(Table2[[#This Row],[tee time4]],'6-6-6 - groups'!$A$3:$F$20,5,FALSE),"")</f>
        <v/>
      </c>
      <c r="AA232" s="69" t="str">
        <f>IF(Table2[[#This Row],[avg gap]]&lt;&gt;"",IFERROR((MAX(starting_interval,IF(Table2[[#This Row],[gap4]]="NA",Table2[[#This Row],[avg gap]],Table2[[#This Row],[gap4]]))-starting_interval)*Table2[[#This Row],[followers4]]/Table2[[#This Row],[group size4]],""),"")</f>
        <v/>
      </c>
      <c r="AB232" s="32" t="str">
        <f>_xlfn.IFNA(VLOOKUP(Table2[[#This Row],[Name]],'Fall FD - players'!$A$2:$B$65,2,FALSE),"")</f>
        <v/>
      </c>
      <c r="AC232" s="59" t="str">
        <f>IF(Table2[[#This Row],[tee time5]]&lt;&gt;"",COUNTIF('Fall FD - players'!$B$2:$B$65,"="&amp;Table2[[#This Row],[tee time5]]),"")</f>
        <v/>
      </c>
      <c r="AD232" s="59" t="str">
        <f>_xlfn.IFNA(VLOOKUP(Table2[[#This Row],[tee time5]],'Fall FD - groups'!$A$3:$F$20,6,FALSE),"")</f>
        <v/>
      </c>
      <c r="AE232" s="4" t="str">
        <f>_xlfn.IFNA(VLOOKUP(Table2[[#This Row],[tee time5]],'Fall FD - groups'!$A$3:$F$20,4,FALSE),"")</f>
        <v/>
      </c>
      <c r="AF232" s="13" t="str">
        <f>IFERROR(MIN(_xlfn.IFNA(VLOOKUP(Table2[[#This Row],[tee time5]],'Fall FD - groups'!$A$3:$F$20,5,FALSE),""),starting_interval + Table2[[#This Row],[round5]] - standard_round_time),"")</f>
        <v/>
      </c>
      <c r="AG232" s="69" t="str">
        <f>IF(AND(Table2[[#This Row],[gap5]]="NA",Table2[[#This Row],[round5]]&lt;4/24),0,IFERROR((MAX(starting_interval,IF(Table2[[#This Row],[gap5]]="NA",Table2[[#This Row],[avg gap]],Table2[[#This Row],[gap5]]))-starting_interval)*Table2[[#This Row],[followers5]]/Table2[[#This Row],[group size5]],""))</f>
        <v/>
      </c>
      <c r="AH232" s="32" t="str">
        <f>_xlfn.IFNA(VLOOKUP(Table2[[#This Row],[Name]],'Stableford - players'!$A$2:$B$65,2,FALSE),"")</f>
        <v/>
      </c>
      <c r="AI232" s="59" t="str">
        <f>IF(Table2[[#This Row],[tee time6]]&lt;&gt;"",COUNTIF('Stableford - players'!$B$2:$B$65,"="&amp;Table2[[#This Row],[tee time6]]),"")</f>
        <v/>
      </c>
      <c r="AJ232" s="59" t="str">
        <f>_xlfn.IFNA(VLOOKUP(Table2[[#This Row],[tee time6]],'Stableford - groups'!$A$3:$F$20,6,FALSE),"")</f>
        <v/>
      </c>
      <c r="AK232" s="11" t="str">
        <f>_xlfn.IFNA(VLOOKUP(Table2[[#This Row],[tee time6]],'Stableford - groups'!$A$3:$F$20,4,FALSE),"")</f>
        <v/>
      </c>
      <c r="AL232" s="13" t="str">
        <f>_xlfn.IFNA(VLOOKUP(Table2[[#This Row],[tee time6]],'Stableford - groups'!$A$3:$F$20,5,FALSE),"")</f>
        <v/>
      </c>
      <c r="AM232" s="68" t="str">
        <f>IF(AND(Table2[[#This Row],[gap6]]="NA",Table2[[#This Row],[round6]]&lt;4/24),0,IFERROR((MAX(starting_interval,IF(Table2[[#This Row],[gap6]]="NA",Table2[[#This Row],[avg gap]],Table2[[#This Row],[gap6]]))-starting_interval)*Table2[[#This Row],[followers6]]/Table2[[#This Row],[group size6]],""))</f>
        <v/>
      </c>
      <c r="AN232" s="32" t="str">
        <f>_xlfn.IFNA(VLOOKUP(Table2[[#This Row],[Name]],'Turkey Shoot - players'!$A$2:$B$65,2,FALSE),"")</f>
        <v/>
      </c>
      <c r="AO232" s="59" t="str">
        <f>IF(Table2[[#This Row],[tee time7]]&lt;&gt;"",COUNTIF('Turkey Shoot - players'!$B$2:$B$65,"="&amp;Table2[[#This Row],[tee time7]]),"")</f>
        <v/>
      </c>
      <c r="AP232" s="59" t="str">
        <f>_xlfn.IFNA(VLOOKUP(Table2[[#This Row],[tee time7]],'Stableford - groups'!$A$3:$F$20,6,FALSE),"")</f>
        <v/>
      </c>
      <c r="AQ232" s="11" t="str">
        <f>_xlfn.IFNA(VLOOKUP(Table2[[#This Row],[tee time7]],'Turkey Shoot - groups'!$A$3:$F$20,4,FALSE),"")</f>
        <v/>
      </c>
      <c r="AR232" s="13" t="str">
        <f>_xlfn.IFNA(VLOOKUP(Table2[[#This Row],[tee time7]],'Turkey Shoot - groups'!$A$3:$F$20,5,FALSE),"")</f>
        <v/>
      </c>
      <c r="AS232" s="68" t="str">
        <f>IF(AND(Table2[[#This Row],[gap7]]="NA",Table2[[#This Row],[round7]]&lt;4/24),0,IFERROR((MAX(starting_interval,IF(Table2[[#This Row],[gap7]]="NA",Table2[[#This Row],[avg gap]],Table2[[#This Row],[gap7]]))-starting_interval)*Table2[[#This Row],[followers7]]/Table2[[#This Row],[group size7]],""))</f>
        <v/>
      </c>
      <c r="AT232" s="72">
        <f>COUNT(Table2[[#This Row],[Tee time1]],Table2[[#This Row],[tee time2]],Table2[[#This Row],[tee time3]],Table2[[#This Row],[tee time4]],Table2[[#This Row],[tee time5]],Table2[[#This Row],[tee time6]],Table2[[#This Row],[tee time7]])</f>
        <v>0</v>
      </c>
      <c r="AU232" s="4" t="str">
        <f>IFERROR(AVERAGE(Table2[[#This Row],[Tee time1]],Table2[[#This Row],[tee time2]],Table2[[#This Row],[tee time3]],Table2[[#This Row],[tee time4]],Table2[[#This Row],[tee time5]],Table2[[#This Row],[tee time6]],Table2[[#This Row],[tee time7]]),"")</f>
        <v/>
      </c>
      <c r="AV232" s="11" t="str">
        <f>IFERROR(MEDIAN(Table2[[#This Row],[round1]],Table2[[#This Row],[Round2]],Table2[[#This Row],[round3]],Table2[[#This Row],[round4]],Table2[[#This Row],[round5]],Table2[[#This Row],[round6]],Table2[[#This Row],[round7]]),"")</f>
        <v/>
      </c>
      <c r="AW232" s="11" t="str">
        <f>IFERROR(AVERAGE(Table2[[#This Row],[gap1]],Table2[[#This Row],[gap2]],Table2[[#This Row],[gap3]],Table2[[#This Row],[gap4]],Table2[[#This Row],[gap5]],Table2[[#This Row],[gap6]],Table2[[#This Row],[gap7]]),"")</f>
        <v/>
      </c>
      <c r="AX232" s="9" t="str">
        <f>IFERROR((Table2[[#This Row],[avg gap]]-starting_interval)*24*60*Table2[[#This Row],[Count]],"NA")</f>
        <v>NA</v>
      </c>
      <c r="AY232" s="69" t="str">
        <f>IF(Table2[[#This Row],[total delay minutes]]="NA","",SUM(Table2[[#This Row],[Following players delayed1]],Table2[[#This Row],[Following players delayed2]],Table2[[#This Row],[Following players delayed3]],Table2[[#This Row],[Following players delayed4]],Table2[[#This Row],[Following players delayed5]],Table2[[#This Row],[Following players delayed6]],Table2[[#This Row],[Following players delayed7]]))</f>
        <v/>
      </c>
      <c r="AZ232" s="2"/>
    </row>
    <row r="233" spans="1:52" x14ac:dyDescent="0.3">
      <c r="A233" s="74" t="s">
        <v>488</v>
      </c>
      <c r="B233" s="16"/>
      <c r="C233" s="18">
        <f>MEDIAN(C3:C232)</f>
        <v>14.25</v>
      </c>
      <c r="D233" s="23">
        <f>SUBTOTAL(102,Table2[Tee time1])</f>
        <v>63</v>
      </c>
      <c r="E233" s="77"/>
      <c r="F233" s="35"/>
      <c r="G233" s="17">
        <f>MEDIAN(G3:G232)</f>
        <v>0.19930555555555557</v>
      </c>
      <c r="H233" s="17">
        <f>MEDIAN(H3:H232)</f>
        <v>7.6388888888889728E-3</v>
      </c>
      <c r="I233" s="70"/>
      <c r="J233" s="23">
        <f>SUBTOTAL(102,Table2[tee time2])</f>
        <v>55</v>
      </c>
      <c r="K233" s="23"/>
      <c r="L233"/>
      <c r="M233" s="4">
        <f>MEDIAN(M3:M232)</f>
        <v>0.18819444444444444</v>
      </c>
      <c r="N233" s="65">
        <f>MEDIAN(N3:N232)</f>
        <v>6.9444444444444441E-3</v>
      </c>
      <c r="O233" s="70"/>
      <c r="P233" s="24">
        <f>SUBTOTAL(102,Table2[tee time3])</f>
        <v>64</v>
      </c>
      <c r="Q233" s="24"/>
      <c r="R233" s="61"/>
      <c r="S233" s="3">
        <f>MEDIAN(S3:S232)</f>
        <v>0.19444444444444436</v>
      </c>
      <c r="T233" s="3">
        <f>MEDIAN(T3:T232)</f>
        <v>6.2499999999999778E-3</v>
      </c>
      <c r="U233" s="70"/>
      <c r="V233" s="24">
        <f>SUBTOTAL(102,Table2[tee time4])</f>
        <v>68</v>
      </c>
      <c r="W233" s="24"/>
      <c r="X233" s="24"/>
      <c r="Y233" s="3">
        <f>MEDIAN(Y3:Y232)</f>
        <v>0.17569444444444443</v>
      </c>
      <c r="Z233" s="3">
        <f>MEDIAN(Z3:Z232)</f>
        <v>7.6388888888888062E-3</v>
      </c>
      <c r="AA233" s="70"/>
      <c r="AB233" s="24">
        <f>SUBTOTAL(102,Table2[tee time5])</f>
        <v>59</v>
      </c>
      <c r="AC233" s="24"/>
      <c r="AD233" s="24"/>
      <c r="AE233" s="3">
        <f>MEDIAN(AE3:AE232)</f>
        <v>0.17777777777777776</v>
      </c>
      <c r="AF233" s="3">
        <f>MEDIAN(AF3:AF232)</f>
        <v>8.3333333333333037E-3</v>
      </c>
      <c r="AG233" s="70"/>
      <c r="AH233" s="86">
        <f>SUBTOTAL(102,Table2[tee time6])</f>
        <v>56</v>
      </c>
      <c r="AI233" s="70"/>
      <c r="AJ233" s="70"/>
      <c r="AK233" s="3">
        <f>MEDIAN(AK3:AK232)</f>
        <v>0.17152777777777772</v>
      </c>
      <c r="AL233" s="3">
        <f>MEDIAN(AL3:AL232)</f>
        <v>6.2499999999999778E-3</v>
      </c>
      <c r="AM233" s="70"/>
      <c r="AN233" s="86">
        <f>SUBTOTAL(102,Table2[tee time7])</f>
        <v>49</v>
      </c>
      <c r="AO233" s="70"/>
      <c r="AP233" s="70"/>
      <c r="AQ233" s="3">
        <f>MEDIAN(AQ3:AQ232)</f>
        <v>0.17291666666666672</v>
      </c>
      <c r="AR233" s="3">
        <f>MEDIAN(AR3:AR232)</f>
        <v>8.3333333333333332E-3</v>
      </c>
      <c r="AS233" s="70"/>
      <c r="AT233" s="73">
        <f>SUBTOTAL(109,Table2[Count])</f>
        <v>414</v>
      </c>
      <c r="AU233"/>
      <c r="AV233" s="17">
        <f>MEDIAN(AV3:AV232)</f>
        <v>0.18124999999999999</v>
      </c>
      <c r="AW233" s="17">
        <f>MEDIAN(AW3:AW232)</f>
        <v>7.6388888888888618E-3</v>
      </c>
      <c r="AX233" s="9"/>
      <c r="AY233" s="69">
        <f>SUBTOTAL(109,Table2[following player delay - HH:MM])</f>
        <v>5.6255439814814903</v>
      </c>
      <c r="AZ233" s="2"/>
    </row>
  </sheetData>
  <sheetProtection sort="0" autoFilter="0"/>
  <mergeCells count="8">
    <mergeCell ref="AT1:AZ1"/>
    <mergeCell ref="D1:I1"/>
    <mergeCell ref="J1:O1"/>
    <mergeCell ref="P1:U1"/>
    <mergeCell ref="V1:AA1"/>
    <mergeCell ref="AB1:AG1"/>
    <mergeCell ref="AH1:AM1"/>
    <mergeCell ref="AN1:AS1"/>
  </mergeCells>
  <phoneticPr fontId="3" type="noConversion"/>
  <conditionalFormatting sqref="AW3:AW232 AF8:AF232 H4:H232 N4:N232 T4:T232 Z6:Z232">
    <cfRule type="colorScale" priority="38">
      <colorScale>
        <cfvo type="num" val="10/(60*24)"/>
        <cfvo type="num" val="16/(60*24)"/>
        <cfvo type="num" val="22/(60*24)"/>
        <color rgb="FF00B050"/>
        <color rgb="FFFFC000"/>
        <color rgb="FFFF0000"/>
      </colorScale>
    </cfRule>
  </conditionalFormatting>
  <conditionalFormatting sqref="AF4:AF7">
    <cfRule type="colorScale" priority="37">
      <colorScale>
        <cfvo type="num" val="10/(60*24)"/>
        <cfvo type="num" val="16/(60*24)"/>
        <cfvo type="num" val="22/(60*24)"/>
        <color rgb="FF00B050"/>
        <color rgb="FFFFC000"/>
        <color rgb="FFFF0000"/>
      </colorScale>
    </cfRule>
  </conditionalFormatting>
  <conditionalFormatting sqref="I4:I232">
    <cfRule type="colorScale" priority="36">
      <colorScale>
        <cfvo type="num" val="10/(60*24)"/>
        <cfvo type="num" val="16/(60*24)"/>
        <cfvo type="num" val="22/(60*24)"/>
        <color rgb="FF00B050"/>
        <color rgb="FFFFC000"/>
        <color rgb="FFFF0000"/>
      </colorScale>
    </cfRule>
  </conditionalFormatting>
  <conditionalFormatting sqref="I2:I1048576">
    <cfRule type="colorScale" priority="32">
      <colorScale>
        <cfvo type="min"/>
        <cfvo type="max"/>
        <color rgb="FFFF7128"/>
        <color rgb="FFFFEF9C"/>
      </colorScale>
    </cfRule>
  </conditionalFormatting>
  <conditionalFormatting sqref="I2:I232">
    <cfRule type="colorScale" priority="30">
      <colorScale>
        <cfvo type="min"/>
        <cfvo type="percentile" val="50"/>
        <cfvo type="max"/>
        <color rgb="FF63BE7B"/>
        <color rgb="FFFFEB84"/>
        <color rgb="FFF8696B"/>
      </colorScale>
    </cfRule>
  </conditionalFormatting>
  <conditionalFormatting sqref="O4:O232">
    <cfRule type="colorScale" priority="29">
      <colorScale>
        <cfvo type="num" val="10/(60*24)"/>
        <cfvo type="num" val="16/(60*24)"/>
        <cfvo type="num" val="22/(60*24)"/>
        <color rgb="FF00B050"/>
        <color rgb="FFFFC000"/>
        <color rgb="FFFF0000"/>
      </colorScale>
    </cfRule>
  </conditionalFormatting>
  <conditionalFormatting sqref="O2:O232">
    <cfRule type="colorScale" priority="28">
      <colorScale>
        <cfvo type="min"/>
        <cfvo type="max"/>
        <color rgb="FFFF7128"/>
        <color rgb="FFFFEF9C"/>
      </colorScale>
    </cfRule>
  </conditionalFormatting>
  <conditionalFormatting sqref="O2:O232">
    <cfRule type="colorScale" priority="27">
      <colorScale>
        <cfvo type="min"/>
        <cfvo type="percentile" val="50"/>
        <cfvo type="max"/>
        <color rgb="FF63BE7B"/>
        <color rgb="FFFFEB84"/>
        <color rgb="FFF8696B"/>
      </colorScale>
    </cfRule>
  </conditionalFormatting>
  <conditionalFormatting sqref="U4:U232">
    <cfRule type="colorScale" priority="26">
      <colorScale>
        <cfvo type="num" val="10/(60*24)"/>
        <cfvo type="num" val="16/(60*24)"/>
        <cfvo type="num" val="22/(60*24)"/>
        <color rgb="FF00B050"/>
        <color rgb="FFFFC000"/>
        <color rgb="FFFF0000"/>
      </colorScale>
    </cfRule>
  </conditionalFormatting>
  <conditionalFormatting sqref="U2:U232">
    <cfRule type="colorScale" priority="25">
      <colorScale>
        <cfvo type="min"/>
        <cfvo type="max"/>
        <color rgb="FFFF7128"/>
        <color rgb="FFFFEF9C"/>
      </colorScale>
    </cfRule>
  </conditionalFormatting>
  <conditionalFormatting sqref="U2:U232">
    <cfRule type="colorScale" priority="24">
      <colorScale>
        <cfvo type="min"/>
        <cfvo type="percentile" val="50"/>
        <cfvo type="max"/>
        <color rgb="FF63BE7B"/>
        <color rgb="FFFFEB84"/>
        <color rgb="FFF8696B"/>
      </colorScale>
    </cfRule>
  </conditionalFormatting>
  <conditionalFormatting sqref="AA4:AA232">
    <cfRule type="colorScale" priority="23">
      <colorScale>
        <cfvo type="num" val="10/(60*24)"/>
        <cfvo type="num" val="16/(60*24)"/>
        <cfvo type="num" val="22/(60*24)"/>
        <color rgb="FF00B050"/>
        <color rgb="FFFFC000"/>
        <color rgb="FFFF0000"/>
      </colorScale>
    </cfRule>
  </conditionalFormatting>
  <conditionalFormatting sqref="AA2:AA232">
    <cfRule type="colorScale" priority="22">
      <colorScale>
        <cfvo type="min"/>
        <cfvo type="max"/>
        <color rgb="FFFF7128"/>
        <color rgb="FFFFEF9C"/>
      </colorScale>
    </cfRule>
  </conditionalFormatting>
  <conditionalFormatting sqref="AA2:AA232">
    <cfRule type="colorScale" priority="21">
      <colorScale>
        <cfvo type="min"/>
        <cfvo type="percentile" val="50"/>
        <cfvo type="max"/>
        <color rgb="FF63BE7B"/>
        <color rgb="FFFFEB84"/>
        <color rgb="FFF8696B"/>
      </colorScale>
    </cfRule>
  </conditionalFormatting>
  <conditionalFormatting sqref="AG4:AG232">
    <cfRule type="colorScale" priority="20">
      <colorScale>
        <cfvo type="num" val="10/(60*24)"/>
        <cfvo type="num" val="16/(60*24)"/>
        <cfvo type="num" val="22/(60*24)"/>
        <color rgb="FF00B050"/>
        <color rgb="FFFFC000"/>
        <color rgb="FFFF0000"/>
      </colorScale>
    </cfRule>
  </conditionalFormatting>
  <conditionalFormatting sqref="AG2:AG232">
    <cfRule type="colorScale" priority="19">
      <colorScale>
        <cfvo type="min"/>
        <cfvo type="max"/>
        <color rgb="FFFF7128"/>
        <color rgb="FFFFEF9C"/>
      </colorScale>
    </cfRule>
  </conditionalFormatting>
  <conditionalFormatting sqref="AG2:AG232">
    <cfRule type="colorScale" priority="18">
      <colorScale>
        <cfvo type="min"/>
        <cfvo type="percentile" val="50"/>
        <cfvo type="max"/>
        <color rgb="FF63BE7B"/>
        <color rgb="FFFFEB84"/>
        <color rgb="FFF8696B"/>
      </colorScale>
    </cfRule>
  </conditionalFormatting>
  <conditionalFormatting sqref="AY4:AY232">
    <cfRule type="colorScale" priority="17">
      <colorScale>
        <cfvo type="num" val="10/(60*24)"/>
        <cfvo type="num" val="16/(60*24)"/>
        <cfvo type="num" val="22/(60*24)"/>
        <color rgb="FF00B050"/>
        <color rgb="FFFFC000"/>
        <color rgb="FFFF0000"/>
      </colorScale>
    </cfRule>
  </conditionalFormatting>
  <conditionalFormatting sqref="AY2:AY232">
    <cfRule type="colorScale" priority="16">
      <colorScale>
        <cfvo type="min"/>
        <cfvo type="max"/>
        <color rgb="FFFF7128"/>
        <color rgb="FFFFEF9C"/>
      </colorScale>
    </cfRule>
  </conditionalFormatting>
  <conditionalFormatting sqref="AY2:AY232">
    <cfRule type="colorScale" priority="15">
      <colorScale>
        <cfvo type="min"/>
        <cfvo type="percentile" val="50"/>
        <cfvo type="max"/>
        <color rgb="FF63BE7B"/>
        <color rgb="FFFFEB84"/>
        <color rgb="FFF8696B"/>
      </colorScale>
    </cfRule>
  </conditionalFormatting>
  <conditionalFormatting sqref="H3">
    <cfRule type="colorScale" priority="11">
      <colorScale>
        <cfvo type="num" val="10/(60*24)"/>
        <cfvo type="num" val="16/(60*24)"/>
        <cfvo type="num" val="22/(60*24)"/>
        <color rgb="FF00B050"/>
        <color rgb="FFFFC000"/>
        <color rgb="FFFF0000"/>
      </colorScale>
    </cfRule>
  </conditionalFormatting>
  <conditionalFormatting sqref="N3">
    <cfRule type="colorScale" priority="10">
      <colorScale>
        <cfvo type="num" val="10/(60*24)"/>
        <cfvo type="num" val="16/(60*24)"/>
        <cfvo type="num" val="22/(60*24)"/>
        <color rgb="FF00B050"/>
        <color rgb="FFFFC000"/>
        <color rgb="FFFF0000"/>
      </colorScale>
    </cfRule>
  </conditionalFormatting>
  <conditionalFormatting sqref="AM2:AS2">
    <cfRule type="colorScale" priority="6">
      <colorScale>
        <cfvo type="min"/>
        <cfvo type="max"/>
        <color rgb="FFFF7128"/>
        <color rgb="FFFFEF9C"/>
      </colorScale>
    </cfRule>
  </conditionalFormatting>
  <conditionalFormatting sqref="AM2:AS2">
    <cfRule type="colorScale" priority="5">
      <colorScale>
        <cfvo type="min"/>
        <cfvo type="percentile" val="50"/>
        <cfvo type="max"/>
        <color rgb="FF63BE7B"/>
        <color rgb="FFFFEB84"/>
        <color rgb="FFF8696B"/>
      </colorScale>
    </cfRule>
  </conditionalFormatting>
  <conditionalFormatting sqref="AM3:AM232 AS3:AS232">
    <cfRule type="colorScale" priority="4">
      <colorScale>
        <cfvo type="min"/>
        <cfvo type="max"/>
        <color rgb="FFFF7128"/>
        <color rgb="FFFFEF9C"/>
      </colorScale>
    </cfRule>
  </conditionalFormatting>
  <conditionalFormatting sqref="AM3:AM232 AS3:AS232">
    <cfRule type="colorScale" priority="3">
      <colorScale>
        <cfvo type="min"/>
        <cfvo type="percentile" val="50"/>
        <cfvo type="max"/>
        <color rgb="FF63BE7B"/>
        <color rgb="FFFFEB84"/>
        <color rgb="FFF8696B"/>
      </colorScale>
    </cfRule>
  </conditionalFormatting>
  <conditionalFormatting sqref="AL3:AL232">
    <cfRule type="colorScale" priority="2">
      <colorScale>
        <cfvo type="num" val="10/(60*24)"/>
        <cfvo type="num" val="16/(60*24)"/>
        <cfvo type="num" val="22/(60*24)"/>
        <color rgb="FF00B050"/>
        <color rgb="FFFFC000"/>
        <color rgb="FFFF0000"/>
      </colorScale>
    </cfRule>
  </conditionalFormatting>
  <conditionalFormatting sqref="AR3:AR232">
    <cfRule type="colorScale" priority="1">
      <colorScale>
        <cfvo type="num" val="10/(60*24)"/>
        <cfvo type="num" val="16/(60*24)"/>
        <cfvo type="num" val="22/(60*24)"/>
        <color rgb="FF00B050"/>
        <color rgb="FFFFC000"/>
        <color rgb="FFFF0000"/>
      </colorScale>
    </cfRule>
  </conditionalFormatting>
  <pageMargins left="0.7" right="0.7" top="0.75" bottom="0.75" header="0.3" footer="0.3"/>
  <pageSetup orientation="portrait" horizontalDpi="0" verticalDpi="0" r:id="rId1"/>
  <legacyDrawing r:id="rId2"/>
  <tableParts count="1">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41BCA-3894-4EBB-B21D-710CF1178CCF}">
  <dimension ref="A1:G20"/>
  <sheetViews>
    <sheetView workbookViewId="0">
      <selection activeCell="F3" sqref="F3"/>
    </sheetView>
    <sheetView workbookViewId="1">
      <selection sqref="A1:B1"/>
    </sheetView>
    <sheetView workbookViewId="2">
      <selection sqref="A1:B1"/>
    </sheetView>
  </sheetViews>
  <sheetFormatPr defaultRowHeight="14.4" x14ac:dyDescent="0.3"/>
  <cols>
    <col min="3" max="3" width="9.5546875" bestFit="1" customWidth="1"/>
  </cols>
  <sheetData>
    <row r="1" spans="1:7" x14ac:dyDescent="0.3">
      <c r="A1" s="101" t="s">
        <v>492</v>
      </c>
      <c r="B1" s="101"/>
      <c r="C1" s="41">
        <v>44457</v>
      </c>
      <c r="D1" s="45"/>
      <c r="E1" s="103"/>
      <c r="F1" s="103"/>
    </row>
    <row r="2" spans="1:7" x14ac:dyDescent="0.3">
      <c r="A2" s="36" t="s">
        <v>501</v>
      </c>
      <c r="B2" s="36" t="s">
        <v>502</v>
      </c>
      <c r="C2" s="36" t="s">
        <v>503</v>
      </c>
      <c r="D2" s="36" t="s">
        <v>504</v>
      </c>
      <c r="E2" s="36" t="s">
        <v>505</v>
      </c>
      <c r="F2" s="104" t="s">
        <v>506</v>
      </c>
      <c r="G2" s="104"/>
    </row>
    <row r="3" spans="1:7" x14ac:dyDescent="0.3">
      <c r="A3" s="38">
        <v>0.33749999999999997</v>
      </c>
      <c r="B3" s="38">
        <v>0.33611111111111108</v>
      </c>
      <c r="C3" s="38">
        <v>0.4861111111111111</v>
      </c>
      <c r="D3" s="38">
        <f>C3-B3</f>
        <v>0.15000000000000002</v>
      </c>
      <c r="E3" s="36" t="s">
        <v>507</v>
      </c>
      <c r="F3" s="37">
        <f>COUNT(A4:A$21)*4</f>
        <v>68</v>
      </c>
    </row>
    <row r="4" spans="1:7" x14ac:dyDescent="0.3">
      <c r="A4" s="38">
        <v>0.3444444444444445</v>
      </c>
      <c r="B4" s="38">
        <v>0.34027777777777773</v>
      </c>
      <c r="C4" s="38">
        <v>0.51041666666666663</v>
      </c>
      <c r="D4" s="38">
        <f t="shared" ref="D4:D20" si="0">C4-B4</f>
        <v>0.1701388888888889</v>
      </c>
      <c r="E4" s="39">
        <f>C4-C3</f>
        <v>2.4305555555555525E-2</v>
      </c>
      <c r="F4" s="37">
        <f>COUNT(A5:A$21)*4</f>
        <v>64</v>
      </c>
    </row>
    <row r="5" spans="1:7" x14ac:dyDescent="0.3">
      <c r="A5" s="38">
        <v>0.35138888888888892</v>
      </c>
      <c r="B5" s="38">
        <v>0.34722222222222227</v>
      </c>
      <c r="C5" s="38">
        <v>0.51874999999999993</v>
      </c>
      <c r="D5" s="38">
        <f t="shared" si="0"/>
        <v>0.17152777777777767</v>
      </c>
      <c r="E5" s="38">
        <f>C5-C4</f>
        <v>8.3333333333333037E-3</v>
      </c>
      <c r="F5" s="37">
        <f>COUNT(A6:A$21)*4</f>
        <v>60</v>
      </c>
    </row>
    <row r="6" spans="1:7" x14ac:dyDescent="0.3">
      <c r="A6" s="38">
        <v>0.35833333333333334</v>
      </c>
      <c r="B6" s="38">
        <v>0.35347222222222219</v>
      </c>
      <c r="C6" s="38">
        <v>0.52986111111111112</v>
      </c>
      <c r="D6" s="38">
        <f t="shared" si="0"/>
        <v>0.17638888888888893</v>
      </c>
      <c r="E6" s="39">
        <f t="shared" ref="E6:E20" si="1">C6-C5</f>
        <v>1.1111111111111183E-2</v>
      </c>
      <c r="F6" s="37">
        <f>COUNT(A7:A$21)*4</f>
        <v>56</v>
      </c>
    </row>
    <row r="7" spans="1:7" x14ac:dyDescent="0.3">
      <c r="A7" s="38">
        <v>0.36527777777777781</v>
      </c>
      <c r="B7" s="38">
        <v>0.36319444444444443</v>
      </c>
      <c r="C7" s="38">
        <v>0.53472222222222221</v>
      </c>
      <c r="D7" s="38">
        <f t="shared" si="0"/>
        <v>0.17152777777777778</v>
      </c>
      <c r="E7" s="38">
        <f t="shared" si="1"/>
        <v>4.8611111111110938E-3</v>
      </c>
      <c r="F7" s="37">
        <f>COUNT(A8:A$21)*4</f>
        <v>52</v>
      </c>
    </row>
    <row r="8" spans="1:7" x14ac:dyDescent="0.3">
      <c r="A8" s="38">
        <v>0.37222222222222223</v>
      </c>
      <c r="B8" s="38">
        <v>0.37222222222222223</v>
      </c>
      <c r="C8" s="38">
        <v>0.54513888888888895</v>
      </c>
      <c r="D8" s="38">
        <f t="shared" si="0"/>
        <v>0.17291666666666672</v>
      </c>
      <c r="E8" s="38">
        <f t="shared" si="1"/>
        <v>1.0416666666666741E-2</v>
      </c>
      <c r="F8" s="37">
        <f>COUNT(A9:A$21)*4</f>
        <v>48</v>
      </c>
    </row>
    <row r="9" spans="1:7" x14ac:dyDescent="0.3">
      <c r="A9" s="38">
        <v>0.37916666666666665</v>
      </c>
      <c r="B9" s="38">
        <v>0.37847222222222227</v>
      </c>
      <c r="C9" s="38">
        <v>0.55972222222222223</v>
      </c>
      <c r="D9" s="38">
        <f t="shared" si="0"/>
        <v>0.18124999999999997</v>
      </c>
      <c r="E9" s="39">
        <f t="shared" si="1"/>
        <v>1.4583333333333282E-2</v>
      </c>
      <c r="F9" s="37">
        <f>COUNT(A10:A$21)*4</f>
        <v>44</v>
      </c>
    </row>
    <row r="10" spans="1:7" x14ac:dyDescent="0.3">
      <c r="A10" s="38">
        <v>0.38611111111111113</v>
      </c>
      <c r="B10" s="38">
        <v>0.38611111111111113</v>
      </c>
      <c r="C10" s="38">
        <v>0.56666666666666665</v>
      </c>
      <c r="D10" s="38">
        <f t="shared" si="0"/>
        <v>0.18055555555555552</v>
      </c>
      <c r="E10" s="38">
        <f t="shared" si="1"/>
        <v>6.9444444444444198E-3</v>
      </c>
      <c r="F10" s="37">
        <f>COUNT(A11:A$21)*4</f>
        <v>40</v>
      </c>
    </row>
    <row r="11" spans="1:7" x14ac:dyDescent="0.3">
      <c r="A11" s="38">
        <v>0.39305555555555555</v>
      </c>
      <c r="B11" s="38">
        <v>0.39305555555555555</v>
      </c>
      <c r="C11" s="38">
        <v>0.5756944444444444</v>
      </c>
      <c r="D11" s="38">
        <f t="shared" si="0"/>
        <v>0.18263888888888885</v>
      </c>
      <c r="E11" s="38">
        <f t="shared" si="1"/>
        <v>9.0277777777777457E-3</v>
      </c>
      <c r="F11" s="37">
        <f>COUNT(A12:A$21)*4</f>
        <v>36</v>
      </c>
    </row>
    <row r="12" spans="1:7" x14ac:dyDescent="0.3">
      <c r="A12" s="38">
        <v>0.39999999999999997</v>
      </c>
      <c r="B12" s="38">
        <v>0.39930555555555558</v>
      </c>
      <c r="C12" s="38">
        <v>0.5805555555555556</v>
      </c>
      <c r="D12" s="38">
        <f t="shared" si="0"/>
        <v>0.18125000000000002</v>
      </c>
      <c r="E12" s="38">
        <f t="shared" si="1"/>
        <v>4.8611111111112049E-3</v>
      </c>
      <c r="F12" s="37">
        <f>COUNT(A13:A$21)*4</f>
        <v>32</v>
      </c>
    </row>
    <row r="13" spans="1:7" x14ac:dyDescent="0.3">
      <c r="A13" s="38">
        <v>0.4069444444444445</v>
      </c>
      <c r="B13" s="38">
        <v>0.40416666666666662</v>
      </c>
      <c r="C13" s="38">
        <v>0.58611111111111114</v>
      </c>
      <c r="D13" s="38">
        <f t="shared" si="0"/>
        <v>0.18194444444444452</v>
      </c>
      <c r="E13" s="38">
        <f t="shared" si="1"/>
        <v>5.5555555555555358E-3</v>
      </c>
      <c r="F13" s="37">
        <f>COUNT(A14:A$21)*4</f>
        <v>28</v>
      </c>
    </row>
    <row r="14" spans="1:7" x14ac:dyDescent="0.3">
      <c r="A14" s="38">
        <v>0.41388888888888892</v>
      </c>
      <c r="B14" s="38">
        <v>0.41319444444444442</v>
      </c>
      <c r="C14" s="38">
        <v>0.59236111111111112</v>
      </c>
      <c r="D14" s="38">
        <f t="shared" si="0"/>
        <v>0.1791666666666667</v>
      </c>
      <c r="E14" s="38">
        <f t="shared" si="1"/>
        <v>6.2499999999999778E-3</v>
      </c>
      <c r="F14" s="37">
        <f>COUNT(A15:A$21)*4</f>
        <v>24</v>
      </c>
    </row>
    <row r="15" spans="1:7" x14ac:dyDescent="0.3">
      <c r="A15" s="38">
        <v>0.42083333333333334</v>
      </c>
      <c r="B15" s="38">
        <v>0.42152777777777778</v>
      </c>
      <c r="C15" s="38">
        <v>0.60069444444444442</v>
      </c>
      <c r="D15" s="38">
        <f t="shared" si="0"/>
        <v>0.17916666666666664</v>
      </c>
      <c r="E15" s="38">
        <f t="shared" si="1"/>
        <v>8.3333333333333037E-3</v>
      </c>
      <c r="F15" s="37">
        <f>COUNT(A16:A$21)*4</f>
        <v>20</v>
      </c>
    </row>
    <row r="16" spans="1:7" x14ac:dyDescent="0.3">
      <c r="A16" s="38">
        <v>0.42777777777777781</v>
      </c>
      <c r="B16" s="38">
        <v>0.42777777777777781</v>
      </c>
      <c r="C16" s="38">
        <v>0.60763888888888895</v>
      </c>
      <c r="D16" s="38">
        <f t="shared" si="0"/>
        <v>0.17986111111111114</v>
      </c>
      <c r="E16" s="38">
        <f t="shared" si="1"/>
        <v>6.9444444444445308E-3</v>
      </c>
      <c r="F16" s="37">
        <f>COUNT(A17:A$21)*4</f>
        <v>16</v>
      </c>
    </row>
    <row r="17" spans="1:6" x14ac:dyDescent="0.3">
      <c r="A17" s="38">
        <v>0.43472222222222223</v>
      </c>
      <c r="B17" s="38">
        <v>0.43472222222222223</v>
      </c>
      <c r="C17" s="38">
        <v>0.61111111111111105</v>
      </c>
      <c r="D17" s="38">
        <f t="shared" si="0"/>
        <v>0.17638888888888882</v>
      </c>
      <c r="E17" s="38">
        <f t="shared" si="1"/>
        <v>3.4722222222220989E-3</v>
      </c>
      <c r="F17" s="37">
        <f>COUNT(A18:A$21)*4</f>
        <v>12</v>
      </c>
    </row>
    <row r="18" spans="1:6" x14ac:dyDescent="0.3">
      <c r="A18" s="38">
        <v>0.44166666666666665</v>
      </c>
      <c r="B18" s="38">
        <v>0.44236111111111115</v>
      </c>
      <c r="C18" s="38">
        <v>0.61736111111111114</v>
      </c>
      <c r="D18" s="38">
        <f t="shared" si="0"/>
        <v>0.17499999999999999</v>
      </c>
      <c r="E18" s="38">
        <f t="shared" si="1"/>
        <v>6.2500000000000888E-3</v>
      </c>
      <c r="F18" s="37">
        <f>COUNT(A19:A$21)*4</f>
        <v>8</v>
      </c>
    </row>
    <row r="19" spans="1:6" x14ac:dyDescent="0.3">
      <c r="A19" s="38">
        <v>0.44861111111111113</v>
      </c>
      <c r="B19" s="38">
        <v>0.44861111111111113</v>
      </c>
      <c r="C19" s="38">
        <v>0.62361111111111112</v>
      </c>
      <c r="D19" s="38">
        <f t="shared" si="0"/>
        <v>0.17499999999999999</v>
      </c>
      <c r="E19" s="38">
        <f t="shared" si="1"/>
        <v>6.2499999999999778E-3</v>
      </c>
      <c r="F19" s="37">
        <f>COUNT(A20:A$21)*4</f>
        <v>4</v>
      </c>
    </row>
    <row r="20" spans="1:6" x14ac:dyDescent="0.3">
      <c r="A20" s="38">
        <v>0.45555555555555555</v>
      </c>
      <c r="B20" s="38">
        <v>0.45416666666666666</v>
      </c>
      <c r="C20" s="38">
        <v>0.63194444444444442</v>
      </c>
      <c r="D20" s="38">
        <f t="shared" si="0"/>
        <v>0.17777777777777776</v>
      </c>
      <c r="E20" s="38">
        <f t="shared" si="1"/>
        <v>8.3333333333333037E-3</v>
      </c>
      <c r="F20" s="37">
        <f>COUNT(A21:A$21)*4</f>
        <v>0</v>
      </c>
    </row>
  </sheetData>
  <mergeCells count="3">
    <mergeCell ref="A1:B1"/>
    <mergeCell ref="E1:F1"/>
    <mergeCell ref="F2:G2"/>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1A935-6CDF-467E-9092-F89B33CACF80}">
  <dimension ref="A1:D62"/>
  <sheetViews>
    <sheetView workbookViewId="0">
      <selection sqref="A1:D1"/>
    </sheetView>
    <sheetView workbookViewId="1"/>
    <sheetView workbookViewId="2"/>
  </sheetViews>
  <sheetFormatPr defaultRowHeight="14.4" x14ac:dyDescent="0.3"/>
  <sheetData>
    <row r="1" spans="1:4" ht="15" thickBot="1" x14ac:dyDescent="0.35">
      <c r="A1" s="46" t="s">
        <v>508</v>
      </c>
      <c r="B1" s="46" t="s">
        <v>509</v>
      </c>
      <c r="C1" s="46" t="s">
        <v>510</v>
      </c>
      <c r="D1" s="46" t="s">
        <v>511</v>
      </c>
    </row>
    <row r="2" spans="1:4" ht="61.8" thickBot="1" x14ac:dyDescent="0.35">
      <c r="A2" s="47" t="s">
        <v>5</v>
      </c>
      <c r="B2" s="48">
        <v>0.38611111111111113</v>
      </c>
      <c r="C2" s="47" t="s">
        <v>512</v>
      </c>
      <c r="D2" s="47" t="s">
        <v>753</v>
      </c>
    </row>
    <row r="3" spans="1:4" ht="41.4" thickBot="1" x14ac:dyDescent="0.35">
      <c r="A3" s="49" t="s">
        <v>6</v>
      </c>
      <c r="B3" s="50">
        <v>0.35833333333333334</v>
      </c>
      <c r="C3" s="49" t="s">
        <v>512</v>
      </c>
      <c r="D3" s="49" t="s">
        <v>754</v>
      </c>
    </row>
    <row r="4" spans="1:4" ht="51.6" thickBot="1" x14ac:dyDescent="0.35">
      <c r="A4" s="49" t="s">
        <v>12</v>
      </c>
      <c r="B4" s="50">
        <v>0.37916666666666665</v>
      </c>
      <c r="C4" s="49" t="s">
        <v>516</v>
      </c>
      <c r="D4" s="49" t="s">
        <v>755</v>
      </c>
    </row>
    <row r="5" spans="1:4" ht="41.4" thickBot="1" x14ac:dyDescent="0.35">
      <c r="A5" s="49" t="s">
        <v>14</v>
      </c>
      <c r="B5" s="50">
        <v>0.35833333333333334</v>
      </c>
      <c r="C5" s="49" t="s">
        <v>634</v>
      </c>
      <c r="D5" s="49" t="s">
        <v>756</v>
      </c>
    </row>
    <row r="6" spans="1:4" ht="51.6" thickBot="1" x14ac:dyDescent="0.35">
      <c r="A6" s="47" t="s">
        <v>15</v>
      </c>
      <c r="B6" s="48">
        <v>0.36527777777777781</v>
      </c>
      <c r="C6" s="47" t="s">
        <v>512</v>
      </c>
      <c r="D6" s="47" t="s">
        <v>752</v>
      </c>
    </row>
    <row r="7" spans="1:4" ht="41.4" thickBot="1" x14ac:dyDescent="0.35">
      <c r="A7" s="47" t="s">
        <v>18</v>
      </c>
      <c r="B7" s="48">
        <v>0.45555555555555555</v>
      </c>
      <c r="C7" s="47" t="s">
        <v>512</v>
      </c>
      <c r="D7" s="47" t="s">
        <v>757</v>
      </c>
    </row>
    <row r="8" spans="1:4" ht="51.6" thickBot="1" x14ac:dyDescent="0.35">
      <c r="A8" s="49" t="s">
        <v>27</v>
      </c>
      <c r="B8" s="50">
        <v>0.36527777777777781</v>
      </c>
      <c r="C8" s="49" t="s">
        <v>512</v>
      </c>
      <c r="D8" s="49" t="s">
        <v>758</v>
      </c>
    </row>
    <row r="9" spans="1:4" ht="51.6" thickBot="1" x14ac:dyDescent="0.35">
      <c r="A9" s="47" t="s">
        <v>30</v>
      </c>
      <c r="B9" s="48">
        <v>0.35138888888888892</v>
      </c>
      <c r="C9" s="47" t="s">
        <v>516</v>
      </c>
      <c r="D9" s="47" t="s">
        <v>759</v>
      </c>
    </row>
    <row r="10" spans="1:4" ht="51.6" thickBot="1" x14ac:dyDescent="0.35">
      <c r="A10" s="49" t="s">
        <v>40</v>
      </c>
      <c r="B10" s="50">
        <v>0.35833333333333334</v>
      </c>
      <c r="C10" s="49" t="s">
        <v>512</v>
      </c>
      <c r="D10" s="49" t="s">
        <v>760</v>
      </c>
    </row>
    <row r="11" spans="1:4" ht="41.4" thickBot="1" x14ac:dyDescent="0.35">
      <c r="A11" s="47" t="s">
        <v>41</v>
      </c>
      <c r="B11" s="48">
        <v>0.44861111111111113</v>
      </c>
      <c r="C11" s="47" t="s">
        <v>516</v>
      </c>
      <c r="D11" s="47" t="s">
        <v>761</v>
      </c>
    </row>
    <row r="12" spans="1:4" ht="51.6" thickBot="1" x14ac:dyDescent="0.35">
      <c r="A12" s="47" t="s">
        <v>762</v>
      </c>
      <c r="B12" s="48">
        <v>0.44861111111111113</v>
      </c>
      <c r="C12" s="47" t="s">
        <v>516</v>
      </c>
      <c r="D12" s="47" t="s">
        <v>763</v>
      </c>
    </row>
    <row r="13" spans="1:4" ht="51.6" thickBot="1" x14ac:dyDescent="0.35">
      <c r="A13" s="49" t="s">
        <v>43</v>
      </c>
      <c r="B13" s="50">
        <v>0.45555555555555555</v>
      </c>
      <c r="C13" s="49" t="s">
        <v>512</v>
      </c>
      <c r="D13" s="49" t="s">
        <v>764</v>
      </c>
    </row>
    <row r="14" spans="1:4" ht="51.6" thickBot="1" x14ac:dyDescent="0.35">
      <c r="A14" s="47" t="s">
        <v>46</v>
      </c>
      <c r="B14" s="48">
        <v>0.4069444444444445</v>
      </c>
      <c r="C14" s="47" t="s">
        <v>512</v>
      </c>
      <c r="D14" s="47" t="s">
        <v>765</v>
      </c>
    </row>
    <row r="15" spans="1:4" ht="51.6" thickBot="1" x14ac:dyDescent="0.35">
      <c r="A15" s="49" t="s">
        <v>47</v>
      </c>
      <c r="B15" s="50">
        <v>0.4069444444444445</v>
      </c>
      <c r="C15" s="49" t="s">
        <v>516</v>
      </c>
      <c r="D15" s="49" t="s">
        <v>766</v>
      </c>
    </row>
    <row r="16" spans="1:4" ht="51.6" thickBot="1" x14ac:dyDescent="0.35">
      <c r="A16" s="47" t="s">
        <v>48</v>
      </c>
      <c r="B16" s="48">
        <v>0.37916666666666665</v>
      </c>
      <c r="C16" s="47" t="s">
        <v>512</v>
      </c>
      <c r="D16" s="47" t="s">
        <v>541</v>
      </c>
    </row>
    <row r="17" spans="1:4" ht="51.6" thickBot="1" x14ac:dyDescent="0.35">
      <c r="A17" s="49" t="s">
        <v>49</v>
      </c>
      <c r="B17" s="50">
        <v>0.37222222222222223</v>
      </c>
      <c r="C17" s="49" t="s">
        <v>512</v>
      </c>
      <c r="D17" s="49" t="s">
        <v>767</v>
      </c>
    </row>
    <row r="18" spans="1:4" ht="51.6" thickBot="1" x14ac:dyDescent="0.35">
      <c r="A18" s="47" t="s">
        <v>475</v>
      </c>
      <c r="B18" s="48">
        <v>0.43472222222222223</v>
      </c>
      <c r="C18" s="47" t="s">
        <v>512</v>
      </c>
      <c r="D18" s="47" t="s">
        <v>768</v>
      </c>
    </row>
    <row r="19" spans="1:4" ht="51.6" thickBot="1" x14ac:dyDescent="0.35">
      <c r="A19" s="49" t="s">
        <v>51</v>
      </c>
      <c r="B19" s="50">
        <v>0.33749999999999997</v>
      </c>
      <c r="C19" s="49" t="s">
        <v>512</v>
      </c>
      <c r="D19" s="49" t="s">
        <v>769</v>
      </c>
    </row>
    <row r="20" spans="1:4" ht="51.6" thickBot="1" x14ac:dyDescent="0.35">
      <c r="A20" s="47" t="s">
        <v>52</v>
      </c>
      <c r="B20" s="48">
        <v>0.42777777777777781</v>
      </c>
      <c r="C20" s="47" t="s">
        <v>512</v>
      </c>
      <c r="D20" s="47" t="s">
        <v>770</v>
      </c>
    </row>
    <row r="21" spans="1:4" ht="51.6" thickBot="1" x14ac:dyDescent="0.35">
      <c r="A21" s="49" t="s">
        <v>55</v>
      </c>
      <c r="B21" s="50">
        <v>0.3444444444444445</v>
      </c>
      <c r="C21" s="49" t="s">
        <v>512</v>
      </c>
      <c r="D21" s="49" t="s">
        <v>771</v>
      </c>
    </row>
    <row r="22" spans="1:4" ht="61.8" thickBot="1" x14ac:dyDescent="0.35">
      <c r="A22" s="47" t="s">
        <v>57</v>
      </c>
      <c r="B22" s="48">
        <v>0.3444444444444445</v>
      </c>
      <c r="C22" s="47" t="s">
        <v>512</v>
      </c>
      <c r="D22" s="47" t="s">
        <v>772</v>
      </c>
    </row>
    <row r="23" spans="1:4" ht="61.8" thickBot="1" x14ac:dyDescent="0.35">
      <c r="A23" s="49" t="s">
        <v>58</v>
      </c>
      <c r="B23" s="50">
        <v>0.41388888888888892</v>
      </c>
      <c r="C23" s="49" t="s">
        <v>512</v>
      </c>
      <c r="D23" s="49" t="s">
        <v>773</v>
      </c>
    </row>
    <row r="24" spans="1:4" ht="61.8" thickBot="1" x14ac:dyDescent="0.35">
      <c r="A24" s="47" t="s">
        <v>59</v>
      </c>
      <c r="B24" s="48">
        <v>0.36527777777777781</v>
      </c>
      <c r="C24" s="47" t="s">
        <v>512</v>
      </c>
      <c r="D24" s="47" t="s">
        <v>774</v>
      </c>
    </row>
    <row r="25" spans="1:4" ht="61.8" thickBot="1" x14ac:dyDescent="0.35">
      <c r="A25" s="49" t="s">
        <v>61</v>
      </c>
      <c r="B25" s="50">
        <v>0.37222222222222223</v>
      </c>
      <c r="C25" s="49" t="s">
        <v>512</v>
      </c>
      <c r="D25" s="49" t="s">
        <v>775</v>
      </c>
    </row>
    <row r="26" spans="1:4" ht="51.6" thickBot="1" x14ac:dyDescent="0.35">
      <c r="A26" s="47" t="s">
        <v>72</v>
      </c>
      <c r="B26" s="48">
        <v>0.37916666666666665</v>
      </c>
      <c r="C26" s="47" t="s">
        <v>512</v>
      </c>
      <c r="D26" s="47" t="s">
        <v>776</v>
      </c>
    </row>
    <row r="27" spans="1:4" ht="61.8" thickBot="1" x14ac:dyDescent="0.35">
      <c r="A27" s="49" t="s">
        <v>78</v>
      </c>
      <c r="B27" s="50">
        <v>0.4069444444444445</v>
      </c>
      <c r="C27" s="49" t="s">
        <v>516</v>
      </c>
      <c r="D27" s="49" t="s">
        <v>777</v>
      </c>
    </row>
    <row r="28" spans="1:4" ht="51.6" thickBot="1" x14ac:dyDescent="0.35">
      <c r="A28" s="47" t="s">
        <v>85</v>
      </c>
      <c r="B28" s="48">
        <v>0.39999999999999997</v>
      </c>
      <c r="C28" s="47" t="s">
        <v>516</v>
      </c>
      <c r="D28" s="47" t="s">
        <v>778</v>
      </c>
    </row>
    <row r="29" spans="1:4" ht="51.6" thickBot="1" x14ac:dyDescent="0.35">
      <c r="A29" s="49" t="s">
        <v>89</v>
      </c>
      <c r="B29" s="50">
        <v>0.44166666666666665</v>
      </c>
      <c r="C29" s="49" t="s">
        <v>516</v>
      </c>
      <c r="D29" s="49" t="s">
        <v>779</v>
      </c>
    </row>
    <row r="30" spans="1:4" ht="41.4" thickBot="1" x14ac:dyDescent="0.35">
      <c r="A30" s="47" t="s">
        <v>90</v>
      </c>
      <c r="B30" s="48">
        <v>0.44166666666666665</v>
      </c>
      <c r="C30" s="47" t="s">
        <v>512</v>
      </c>
      <c r="D30" s="47" t="s">
        <v>780</v>
      </c>
    </row>
    <row r="31" spans="1:4" ht="61.8" thickBot="1" x14ac:dyDescent="0.35">
      <c r="A31" s="49" t="s">
        <v>95</v>
      </c>
      <c r="B31" s="50">
        <v>0.42083333333333334</v>
      </c>
      <c r="C31" s="49" t="s">
        <v>516</v>
      </c>
      <c r="D31" s="49" t="s">
        <v>781</v>
      </c>
    </row>
    <row r="32" spans="1:4" ht="51.6" thickBot="1" x14ac:dyDescent="0.35">
      <c r="A32" s="47" t="s">
        <v>101</v>
      </c>
      <c r="B32" s="48">
        <v>0.45555555555555555</v>
      </c>
      <c r="C32" s="47" t="s">
        <v>512</v>
      </c>
      <c r="D32" s="47" t="s">
        <v>640</v>
      </c>
    </row>
    <row r="33" spans="1:4" ht="51.6" thickBot="1" x14ac:dyDescent="0.35">
      <c r="A33" s="47" t="s">
        <v>103</v>
      </c>
      <c r="B33" s="48">
        <v>0.37222222222222223</v>
      </c>
      <c r="C33" s="47" t="s">
        <v>512</v>
      </c>
      <c r="D33" s="47" t="s">
        <v>782</v>
      </c>
    </row>
    <row r="34" spans="1:4" ht="51.6" thickBot="1" x14ac:dyDescent="0.35">
      <c r="A34" s="49" t="s">
        <v>104</v>
      </c>
      <c r="B34" s="50">
        <v>0.37916666666666665</v>
      </c>
      <c r="C34" s="49" t="s">
        <v>512</v>
      </c>
      <c r="D34" s="49" t="s">
        <v>783</v>
      </c>
    </row>
    <row r="35" spans="1:4" ht="51.6" thickBot="1" x14ac:dyDescent="0.35">
      <c r="A35" s="47" t="s">
        <v>110</v>
      </c>
      <c r="B35" s="48">
        <v>0.4069444444444445</v>
      </c>
      <c r="C35" s="47" t="s">
        <v>516</v>
      </c>
      <c r="D35" s="47" t="s">
        <v>784</v>
      </c>
    </row>
    <row r="36" spans="1:4" ht="51.6" thickBot="1" x14ac:dyDescent="0.35">
      <c r="A36" s="49" t="s">
        <v>477</v>
      </c>
      <c r="B36" s="50">
        <v>0.43472222222222223</v>
      </c>
      <c r="C36" s="49" t="s">
        <v>512</v>
      </c>
      <c r="D36" s="49" t="s">
        <v>785</v>
      </c>
    </row>
    <row r="37" spans="1:4" ht="61.8" thickBot="1" x14ac:dyDescent="0.35">
      <c r="A37" s="47" t="s">
        <v>478</v>
      </c>
      <c r="B37" s="48">
        <v>0.35138888888888892</v>
      </c>
      <c r="C37" s="47" t="s">
        <v>516</v>
      </c>
      <c r="D37" s="47" t="s">
        <v>786</v>
      </c>
    </row>
    <row r="38" spans="1:4" ht="61.8" thickBot="1" x14ac:dyDescent="0.35">
      <c r="A38" s="49" t="s">
        <v>119</v>
      </c>
      <c r="B38" s="50">
        <v>0.39305555555555555</v>
      </c>
      <c r="C38" s="49" t="s">
        <v>516</v>
      </c>
      <c r="D38" s="49" t="s">
        <v>787</v>
      </c>
    </row>
    <row r="39" spans="1:4" ht="61.8" thickBot="1" x14ac:dyDescent="0.35">
      <c r="A39" s="47" t="s">
        <v>235</v>
      </c>
      <c r="B39" s="48">
        <v>0.39305555555555555</v>
      </c>
      <c r="C39" s="47" t="s">
        <v>512</v>
      </c>
      <c r="D39" s="47" t="s">
        <v>788</v>
      </c>
    </row>
    <row r="40" spans="1:4" ht="51.6" thickBot="1" x14ac:dyDescent="0.35">
      <c r="A40" s="49" t="s">
        <v>120</v>
      </c>
      <c r="B40" s="50">
        <v>0.41388888888888892</v>
      </c>
      <c r="C40" s="49" t="s">
        <v>512</v>
      </c>
      <c r="D40" s="49" t="s">
        <v>789</v>
      </c>
    </row>
    <row r="41" spans="1:4" ht="51.6" thickBot="1" x14ac:dyDescent="0.35">
      <c r="A41" s="49" t="s">
        <v>129</v>
      </c>
      <c r="B41" s="50">
        <v>0.41388888888888892</v>
      </c>
      <c r="C41" s="49" t="s">
        <v>516</v>
      </c>
      <c r="D41" s="49" t="s">
        <v>790</v>
      </c>
    </row>
    <row r="42" spans="1:4" ht="51.6" thickBot="1" x14ac:dyDescent="0.35">
      <c r="A42" s="47" t="s">
        <v>134</v>
      </c>
      <c r="B42" s="48">
        <v>0.35138888888888892</v>
      </c>
      <c r="C42" s="47" t="s">
        <v>512</v>
      </c>
      <c r="D42" s="47" t="s">
        <v>791</v>
      </c>
    </row>
    <row r="43" spans="1:4" ht="61.8" thickBot="1" x14ac:dyDescent="0.35">
      <c r="A43" s="49" t="s">
        <v>138</v>
      </c>
      <c r="B43" s="50">
        <v>0.39305555555555555</v>
      </c>
      <c r="C43" s="49" t="s">
        <v>512</v>
      </c>
      <c r="D43" s="49" t="s">
        <v>792</v>
      </c>
    </row>
    <row r="44" spans="1:4" ht="51.6" thickBot="1" x14ac:dyDescent="0.35">
      <c r="A44" s="47" t="s">
        <v>142</v>
      </c>
      <c r="B44" s="48">
        <v>0.35833333333333334</v>
      </c>
      <c r="C44" s="47" t="s">
        <v>512</v>
      </c>
      <c r="D44" s="47" t="s">
        <v>793</v>
      </c>
    </row>
    <row r="45" spans="1:4" ht="61.8" thickBot="1" x14ac:dyDescent="0.35">
      <c r="A45" s="49" t="s">
        <v>143</v>
      </c>
      <c r="B45" s="50">
        <v>0.38611111111111113</v>
      </c>
      <c r="C45" s="49" t="s">
        <v>516</v>
      </c>
      <c r="D45" s="49" t="s">
        <v>794</v>
      </c>
    </row>
    <row r="46" spans="1:4" ht="51.6" thickBot="1" x14ac:dyDescent="0.35">
      <c r="A46" s="47" t="s">
        <v>148</v>
      </c>
      <c r="B46" s="48">
        <v>0.41388888888888892</v>
      </c>
      <c r="C46" s="47" t="s">
        <v>516</v>
      </c>
      <c r="D46" s="47" t="s">
        <v>795</v>
      </c>
    </row>
    <row r="47" spans="1:4" ht="51.6" thickBot="1" x14ac:dyDescent="0.35">
      <c r="A47" s="49" t="s">
        <v>155</v>
      </c>
      <c r="B47" s="50">
        <v>0.44861111111111113</v>
      </c>
      <c r="C47" s="49" t="s">
        <v>516</v>
      </c>
      <c r="D47" s="49" t="s">
        <v>796</v>
      </c>
    </row>
    <row r="48" spans="1:4" ht="41.4" thickBot="1" x14ac:dyDescent="0.35">
      <c r="A48" s="47" t="s">
        <v>494</v>
      </c>
      <c r="B48" s="48">
        <v>0.44166666666666665</v>
      </c>
      <c r="C48" s="47" t="s">
        <v>512</v>
      </c>
      <c r="D48" s="47" t="s">
        <v>797</v>
      </c>
    </row>
    <row r="49" spans="1:4" ht="51.6" thickBot="1" x14ac:dyDescent="0.35">
      <c r="A49" s="49" t="s">
        <v>798</v>
      </c>
      <c r="B49" s="50">
        <v>0.44166666666666665</v>
      </c>
      <c r="C49" s="49" t="s">
        <v>512</v>
      </c>
      <c r="D49" s="49" t="s">
        <v>799</v>
      </c>
    </row>
    <row r="50" spans="1:4" ht="51.6" thickBot="1" x14ac:dyDescent="0.35">
      <c r="A50" s="47" t="s">
        <v>168</v>
      </c>
      <c r="B50" s="48">
        <v>0.3444444444444445</v>
      </c>
      <c r="C50" s="47" t="s">
        <v>512</v>
      </c>
      <c r="D50" s="47" t="s">
        <v>800</v>
      </c>
    </row>
    <row r="51" spans="1:4" ht="51.6" thickBot="1" x14ac:dyDescent="0.35">
      <c r="A51" s="49" t="s">
        <v>169</v>
      </c>
      <c r="B51" s="50">
        <v>0.35138888888888892</v>
      </c>
      <c r="C51" s="49" t="s">
        <v>512</v>
      </c>
      <c r="D51" s="49" t="s">
        <v>801</v>
      </c>
    </row>
    <row r="52" spans="1:4" ht="61.8" thickBot="1" x14ac:dyDescent="0.35">
      <c r="A52" s="47" t="s">
        <v>174</v>
      </c>
      <c r="B52" s="48">
        <v>0.39999999999999997</v>
      </c>
      <c r="C52" s="47" t="s">
        <v>512</v>
      </c>
      <c r="D52" s="47" t="s">
        <v>536</v>
      </c>
    </row>
    <row r="53" spans="1:4" ht="51.6" thickBot="1" x14ac:dyDescent="0.35">
      <c r="A53" s="49" t="s">
        <v>178</v>
      </c>
      <c r="B53" s="50">
        <v>0.39999999999999997</v>
      </c>
      <c r="C53" s="49" t="s">
        <v>512</v>
      </c>
      <c r="D53" s="49" t="s">
        <v>802</v>
      </c>
    </row>
    <row r="54" spans="1:4" ht="51.6" thickBot="1" x14ac:dyDescent="0.35">
      <c r="A54" s="47" t="s">
        <v>493</v>
      </c>
      <c r="B54" s="48">
        <v>0.42777777777777781</v>
      </c>
      <c r="C54" s="47" t="s">
        <v>512</v>
      </c>
      <c r="D54" s="47" t="s">
        <v>803</v>
      </c>
    </row>
    <row r="55" spans="1:4" ht="51.6" thickBot="1" x14ac:dyDescent="0.35">
      <c r="A55" s="49" t="s">
        <v>185</v>
      </c>
      <c r="B55" s="50">
        <v>0.42083333333333334</v>
      </c>
      <c r="C55" s="49" t="s">
        <v>512</v>
      </c>
      <c r="D55" s="49" t="s">
        <v>804</v>
      </c>
    </row>
    <row r="56" spans="1:4" ht="51.6" thickBot="1" x14ac:dyDescent="0.35">
      <c r="A56" s="47" t="s">
        <v>188</v>
      </c>
      <c r="B56" s="48">
        <v>0.42083333333333334</v>
      </c>
      <c r="C56" s="47" t="s">
        <v>512</v>
      </c>
      <c r="D56" s="47" t="s">
        <v>805</v>
      </c>
    </row>
    <row r="57" spans="1:4" ht="61.8" thickBot="1" x14ac:dyDescent="0.35">
      <c r="A57" s="49" t="s">
        <v>190</v>
      </c>
      <c r="B57" s="50">
        <v>0.33749999999999997</v>
      </c>
      <c r="C57" s="49" t="s">
        <v>512</v>
      </c>
      <c r="D57" s="49" t="s">
        <v>806</v>
      </c>
    </row>
    <row r="58" spans="1:4" ht="51.6" thickBot="1" x14ac:dyDescent="0.35">
      <c r="A58" s="49" t="s">
        <v>195</v>
      </c>
      <c r="B58" s="50">
        <v>0.42777777777777781</v>
      </c>
      <c r="C58" s="49" t="s">
        <v>512</v>
      </c>
      <c r="D58" s="49" t="s">
        <v>807</v>
      </c>
    </row>
    <row r="59" spans="1:4" ht="61.8" thickBot="1" x14ac:dyDescent="0.35">
      <c r="A59" s="49" t="s">
        <v>201</v>
      </c>
      <c r="B59" s="50">
        <v>0.39305555555555555</v>
      </c>
      <c r="C59" s="49" t="s">
        <v>512</v>
      </c>
      <c r="D59" s="49" t="s">
        <v>808</v>
      </c>
    </row>
    <row r="60" spans="1:4" ht="61.8" thickBot="1" x14ac:dyDescent="0.35">
      <c r="A60" s="47" t="s">
        <v>202</v>
      </c>
      <c r="B60" s="48">
        <v>0.38611111111111113</v>
      </c>
      <c r="C60" s="47" t="s">
        <v>512</v>
      </c>
      <c r="D60" s="47" t="s">
        <v>809</v>
      </c>
    </row>
    <row r="61" spans="1:4" ht="51.6" thickBot="1" x14ac:dyDescent="0.35">
      <c r="A61" s="49" t="s">
        <v>204</v>
      </c>
      <c r="B61" s="50">
        <v>0.45555555555555555</v>
      </c>
      <c r="C61" s="49" t="s">
        <v>512</v>
      </c>
      <c r="D61" s="49" t="s">
        <v>810</v>
      </c>
    </row>
    <row r="62" spans="1:4" ht="61.8" thickBot="1" x14ac:dyDescent="0.35">
      <c r="A62" s="51" t="s">
        <v>483</v>
      </c>
      <c r="B62" s="52">
        <v>0.38611111111111113</v>
      </c>
      <c r="C62" s="51" t="s">
        <v>512</v>
      </c>
      <c r="D62" s="51" t="s">
        <v>811</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80424-2693-4656-8F0D-8469AB24BECA}">
  <dimension ref="A1:G18"/>
  <sheetViews>
    <sheetView workbookViewId="0">
      <selection activeCell="C1" sqref="C1"/>
    </sheetView>
    <sheetView workbookViewId="1">
      <selection activeCell="D3" sqref="D3"/>
    </sheetView>
    <sheetView workbookViewId="2">
      <selection sqref="A1:B1"/>
    </sheetView>
  </sheetViews>
  <sheetFormatPr defaultRowHeight="14.4" x14ac:dyDescent="0.3"/>
  <cols>
    <col min="3" max="3" width="10.77734375" bestFit="1" customWidth="1"/>
    <col min="4" max="4" width="10.77734375" style="84" customWidth="1"/>
  </cols>
  <sheetData>
    <row r="1" spans="1:7" x14ac:dyDescent="0.3">
      <c r="A1" s="101" t="s">
        <v>888</v>
      </c>
      <c r="B1" s="101"/>
      <c r="C1" s="41">
        <v>44485</v>
      </c>
      <c r="D1" s="41"/>
      <c r="E1" s="45"/>
      <c r="F1" s="84"/>
      <c r="G1" s="84"/>
    </row>
    <row r="2" spans="1:7" x14ac:dyDescent="0.3">
      <c r="A2" s="36" t="s">
        <v>501</v>
      </c>
      <c r="B2" s="36" t="s">
        <v>502</v>
      </c>
      <c r="C2" s="36" t="s">
        <v>503</v>
      </c>
      <c r="D2" s="36" t="s">
        <v>504</v>
      </c>
      <c r="E2" s="36" t="s">
        <v>505</v>
      </c>
      <c r="F2" s="104" t="s">
        <v>506</v>
      </c>
      <c r="G2" s="104"/>
    </row>
    <row r="3" spans="1:7" x14ac:dyDescent="0.3">
      <c r="A3" s="38">
        <v>0.33333333333333331</v>
      </c>
      <c r="B3" s="38">
        <v>0.33263888888888887</v>
      </c>
      <c r="C3" s="38">
        <v>0.50277777777777777</v>
      </c>
      <c r="D3" s="38">
        <f>C3-B3</f>
        <v>0.1701388888888889</v>
      </c>
      <c r="E3" s="38" t="s">
        <v>507</v>
      </c>
      <c r="F3" s="37">
        <f>COUNT(A4:A$21)*4</f>
        <v>60</v>
      </c>
    </row>
    <row r="4" spans="1:7" x14ac:dyDescent="0.3">
      <c r="A4" s="38">
        <v>0.34027777777777773</v>
      </c>
      <c r="B4" s="38">
        <v>0.34027777777777773</v>
      </c>
      <c r="C4" s="38">
        <v>0.51180555555555551</v>
      </c>
      <c r="D4" s="38">
        <f t="shared" ref="D4:D18" si="0">C4-B4</f>
        <v>0.17152777777777778</v>
      </c>
      <c r="E4" s="38">
        <f>C4-C3</f>
        <v>9.0277777777777457E-3</v>
      </c>
      <c r="F4" s="37">
        <f>COUNT(A5:A$21)*4</f>
        <v>56</v>
      </c>
    </row>
    <row r="5" spans="1:7" x14ac:dyDescent="0.3">
      <c r="A5" s="38">
        <v>0.34722222222222227</v>
      </c>
      <c r="B5" s="38">
        <v>0.34791666666666665</v>
      </c>
      <c r="C5" s="38">
        <v>0.51736111111111105</v>
      </c>
      <c r="D5" s="38">
        <f t="shared" si="0"/>
        <v>0.1694444444444444</v>
      </c>
      <c r="E5" s="38">
        <f t="shared" ref="E5:E18" si="1">C5-C4</f>
        <v>5.5555555555555358E-3</v>
      </c>
      <c r="F5" s="37">
        <f>COUNT(A6:A$21)*4</f>
        <v>52</v>
      </c>
    </row>
    <row r="6" spans="1:7" x14ac:dyDescent="0.3">
      <c r="A6" s="38">
        <v>0.35416666666666669</v>
      </c>
      <c r="B6" s="38">
        <v>0.35416666666666669</v>
      </c>
      <c r="C6" s="38">
        <v>0.52083333333333337</v>
      </c>
      <c r="D6" s="38">
        <f t="shared" si="0"/>
        <v>0.16666666666666669</v>
      </c>
      <c r="E6" s="38">
        <f t="shared" si="1"/>
        <v>3.4722222222223209E-3</v>
      </c>
      <c r="F6" s="37">
        <f>COUNT(A7:A$21)*4</f>
        <v>48</v>
      </c>
    </row>
    <row r="7" spans="1:7" x14ac:dyDescent="0.3">
      <c r="A7" s="38">
        <v>0.3611111111111111</v>
      </c>
      <c r="B7" s="38">
        <v>0.36180555555555555</v>
      </c>
      <c r="C7" s="38">
        <v>0.52569444444444446</v>
      </c>
      <c r="D7" s="38">
        <f t="shared" si="0"/>
        <v>0.16388888888888892</v>
      </c>
      <c r="E7" s="38">
        <f t="shared" si="1"/>
        <v>4.8611111111110938E-3</v>
      </c>
      <c r="F7" s="37">
        <f>COUNT(A8:A$21)*4</f>
        <v>44</v>
      </c>
    </row>
    <row r="8" spans="1:7" x14ac:dyDescent="0.3">
      <c r="A8" s="38">
        <v>0.36805555555555558</v>
      </c>
      <c r="B8" s="38">
        <v>0.36874999999999997</v>
      </c>
      <c r="C8" s="38">
        <v>0.53541666666666665</v>
      </c>
      <c r="D8" s="38">
        <f t="shared" si="0"/>
        <v>0.16666666666666669</v>
      </c>
      <c r="E8" s="38">
        <f t="shared" si="1"/>
        <v>9.7222222222221877E-3</v>
      </c>
      <c r="F8" s="37">
        <f>COUNT(A9:A$21)*4</f>
        <v>40</v>
      </c>
    </row>
    <row r="9" spans="1:7" x14ac:dyDescent="0.3">
      <c r="A9" s="38">
        <v>0.375</v>
      </c>
      <c r="B9" s="38">
        <v>0.375</v>
      </c>
      <c r="C9" s="38">
        <v>0.5444444444444444</v>
      </c>
      <c r="D9" s="38">
        <f t="shared" si="0"/>
        <v>0.1694444444444444</v>
      </c>
      <c r="E9" s="38">
        <f t="shared" si="1"/>
        <v>9.0277777777777457E-3</v>
      </c>
      <c r="F9" s="37">
        <f>COUNT(A10:A$21)*4</f>
        <v>36</v>
      </c>
    </row>
    <row r="10" spans="1:7" x14ac:dyDescent="0.3">
      <c r="A10" s="38">
        <v>0.38194444444444442</v>
      </c>
      <c r="B10" s="38">
        <v>0.38263888888888892</v>
      </c>
      <c r="C10" s="38">
        <v>0.55555555555555558</v>
      </c>
      <c r="D10" s="38">
        <f t="shared" si="0"/>
        <v>0.17291666666666666</v>
      </c>
      <c r="E10" s="38">
        <f t="shared" si="1"/>
        <v>1.1111111111111183E-2</v>
      </c>
      <c r="F10" s="37">
        <f>COUNT(A11:A$21)*4</f>
        <v>32</v>
      </c>
    </row>
    <row r="11" spans="1:7" x14ac:dyDescent="0.3">
      <c r="A11" s="38">
        <v>0.3888888888888889</v>
      </c>
      <c r="B11" s="38">
        <v>0.38958333333333334</v>
      </c>
      <c r="C11" s="38">
        <v>0.56180555555555556</v>
      </c>
      <c r="D11" s="38">
        <f t="shared" si="0"/>
        <v>0.17222222222222222</v>
      </c>
      <c r="E11" s="38">
        <f t="shared" si="1"/>
        <v>6.2499999999999778E-3</v>
      </c>
      <c r="F11" s="37">
        <f>COUNT(A12:A$21)*4</f>
        <v>28</v>
      </c>
    </row>
    <row r="12" spans="1:7" x14ac:dyDescent="0.3">
      <c r="A12" s="38">
        <v>0.39583333333333331</v>
      </c>
      <c r="B12" s="38">
        <v>0.39652777777777781</v>
      </c>
      <c r="C12" s="38">
        <v>0.56805555555555554</v>
      </c>
      <c r="D12" s="38">
        <f t="shared" si="0"/>
        <v>0.17152777777777772</v>
      </c>
      <c r="E12" s="38">
        <f t="shared" si="1"/>
        <v>6.2499999999999778E-3</v>
      </c>
      <c r="F12" s="37">
        <f>COUNT(A13:A$21)*4</f>
        <v>24</v>
      </c>
    </row>
    <row r="13" spans="1:7" x14ac:dyDescent="0.3">
      <c r="A13" s="38">
        <v>0.40277777777777773</v>
      </c>
      <c r="B13" s="38">
        <v>0.40277777777777773</v>
      </c>
      <c r="C13" s="38">
        <v>0.57430555555555551</v>
      </c>
      <c r="D13" s="38">
        <f t="shared" si="0"/>
        <v>0.17152777777777778</v>
      </c>
      <c r="E13" s="38">
        <f t="shared" si="1"/>
        <v>6.2499999999999778E-3</v>
      </c>
      <c r="F13" s="37">
        <f>COUNT(A14:A$21)*4</f>
        <v>20</v>
      </c>
    </row>
    <row r="14" spans="1:7" x14ac:dyDescent="0.3">
      <c r="A14" s="38">
        <v>0.40972222222222227</v>
      </c>
      <c r="B14" s="38">
        <v>0.40972222222222227</v>
      </c>
      <c r="C14" s="38">
        <v>0.58263888888888882</v>
      </c>
      <c r="D14" s="38">
        <f t="shared" si="0"/>
        <v>0.17291666666666655</v>
      </c>
      <c r="E14" s="38">
        <f t="shared" si="1"/>
        <v>8.3333333333333037E-3</v>
      </c>
      <c r="F14" s="37">
        <f>COUNT(A15:A$21)*4</f>
        <v>16</v>
      </c>
    </row>
    <row r="15" spans="1:7" x14ac:dyDescent="0.3">
      <c r="A15" s="38">
        <v>0.41666666666666669</v>
      </c>
      <c r="B15" s="38">
        <v>0.41736111111111113</v>
      </c>
      <c r="C15" s="38">
        <v>0.59027777777777779</v>
      </c>
      <c r="D15" s="38">
        <f t="shared" si="0"/>
        <v>0.17291666666666666</v>
      </c>
      <c r="E15" s="38">
        <f t="shared" si="1"/>
        <v>7.6388888888889728E-3</v>
      </c>
      <c r="F15" s="37">
        <f>COUNT(A16:A$21)*4</f>
        <v>12</v>
      </c>
    </row>
    <row r="16" spans="1:7" x14ac:dyDescent="0.3">
      <c r="A16" s="38">
        <v>0.4236111111111111</v>
      </c>
      <c r="B16" s="38">
        <v>0.4236111111111111</v>
      </c>
      <c r="C16" s="38">
        <v>0.59583333333333333</v>
      </c>
      <c r="D16" s="38">
        <f t="shared" si="0"/>
        <v>0.17222222222222222</v>
      </c>
      <c r="E16" s="38">
        <f t="shared" si="1"/>
        <v>5.5555555555555358E-3</v>
      </c>
      <c r="F16" s="37">
        <f>COUNT(A17:A$21)*4</f>
        <v>8</v>
      </c>
    </row>
    <row r="17" spans="1:6" x14ac:dyDescent="0.3">
      <c r="A17" s="38">
        <v>0.43055555555555558</v>
      </c>
      <c r="B17" s="38">
        <v>0.43055555555555558</v>
      </c>
      <c r="C17" s="38">
        <v>0.60138888888888886</v>
      </c>
      <c r="D17" s="38">
        <f t="shared" si="0"/>
        <v>0.17083333333333328</v>
      </c>
      <c r="E17" s="38">
        <f t="shared" si="1"/>
        <v>5.5555555555555358E-3</v>
      </c>
      <c r="F17" s="37">
        <f>COUNT(A18:A$21)*4</f>
        <v>4</v>
      </c>
    </row>
    <row r="18" spans="1:6" x14ac:dyDescent="0.3">
      <c r="A18" s="38">
        <v>0.4375</v>
      </c>
      <c r="B18" s="38">
        <v>0.4375</v>
      </c>
      <c r="C18" s="38">
        <v>0.60625000000000007</v>
      </c>
      <c r="D18" s="38">
        <f t="shared" si="0"/>
        <v>0.16875000000000007</v>
      </c>
      <c r="E18" s="38">
        <f t="shared" si="1"/>
        <v>4.8611111111112049E-3</v>
      </c>
      <c r="F18" s="37">
        <f>COUNT(A19:A$21)*4</f>
        <v>0</v>
      </c>
    </row>
  </sheetData>
  <mergeCells count="2">
    <mergeCell ref="A1:B1"/>
    <mergeCell ref="F2: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F3D40-00BD-4960-B29D-42947ED14EFD}">
  <dimension ref="A1:E60"/>
  <sheetViews>
    <sheetView workbookViewId="0">
      <selection activeCell="B7" sqref="B7"/>
    </sheetView>
    <sheetView workbookViewId="1">
      <selection activeCell="E61" sqref="E61"/>
    </sheetView>
    <sheetView workbookViewId="2"/>
  </sheetViews>
  <sheetFormatPr defaultRowHeight="14.4" x14ac:dyDescent="0.3"/>
  <cols>
    <col min="4" max="4" width="12.6640625" customWidth="1"/>
    <col min="5" max="5" width="13.44140625" customWidth="1"/>
  </cols>
  <sheetData>
    <row r="1" spans="1:5" ht="15" thickBot="1" x14ac:dyDescent="0.35">
      <c r="A1" s="46" t="s">
        <v>508</v>
      </c>
      <c r="B1" s="46" t="s">
        <v>509</v>
      </c>
      <c r="C1" s="46" t="s">
        <v>510</v>
      </c>
      <c r="D1" s="46" t="s">
        <v>511</v>
      </c>
      <c r="E1" s="88" t="s">
        <v>889</v>
      </c>
    </row>
    <row r="2" spans="1:5" ht="31.2" thickBot="1" x14ac:dyDescent="0.35">
      <c r="A2" s="47" t="s">
        <v>5</v>
      </c>
      <c r="B2" s="48">
        <v>0.3888888888888889</v>
      </c>
      <c r="C2" s="47" t="s">
        <v>516</v>
      </c>
      <c r="D2" s="47" t="s">
        <v>831</v>
      </c>
      <c r="E2" t="str">
        <f>VLOOKUP(A2,'All players'!A$3:A$202,1,FALSE)</f>
        <v>Asplund, Brian</v>
      </c>
    </row>
    <row r="3" spans="1:5" ht="31.2" thickBot="1" x14ac:dyDescent="0.35">
      <c r="A3" s="49" t="s">
        <v>12</v>
      </c>
      <c r="B3" s="50">
        <v>0.34027777777777773</v>
      </c>
      <c r="C3" s="49" t="s">
        <v>516</v>
      </c>
      <c r="D3" s="49" t="s">
        <v>832</v>
      </c>
      <c r="E3" s="85" t="str">
        <f>VLOOKUP(A3,'All players'!A$3:A$202,1,FALSE)</f>
        <v>Bernard, Michael</v>
      </c>
    </row>
    <row r="4" spans="1:5" ht="31.2" thickBot="1" x14ac:dyDescent="0.35">
      <c r="A4" s="47" t="s">
        <v>17</v>
      </c>
      <c r="B4" s="48">
        <v>0.34722222222222227</v>
      </c>
      <c r="C4" s="47" t="s">
        <v>516</v>
      </c>
      <c r="D4" s="47" t="s">
        <v>833</v>
      </c>
      <c r="E4" s="85" t="str">
        <f>VLOOKUP(A4,'All players'!A$3:A$202,1,FALSE)</f>
        <v>Bowen, Brock</v>
      </c>
    </row>
    <row r="5" spans="1:5" ht="31.2" thickBot="1" x14ac:dyDescent="0.35">
      <c r="A5" s="49" t="s">
        <v>25</v>
      </c>
      <c r="B5" s="50">
        <v>0.43055555555555558</v>
      </c>
      <c r="C5" s="49" t="s">
        <v>516</v>
      </c>
      <c r="D5" s="49" t="s">
        <v>834</v>
      </c>
      <c r="E5" s="85" t="str">
        <f>VLOOKUP(A5,'All players'!A$3:A$202,1,FALSE)</f>
        <v>Brown, Roger</v>
      </c>
    </row>
    <row r="6" spans="1:5" ht="31.2" thickBot="1" x14ac:dyDescent="0.35">
      <c r="A6" s="47" t="s">
        <v>27</v>
      </c>
      <c r="B6" s="48">
        <v>0.34722222222222227</v>
      </c>
      <c r="C6" s="47" t="s">
        <v>516</v>
      </c>
      <c r="D6" s="47" t="s">
        <v>835</v>
      </c>
      <c r="E6" s="85" t="str">
        <f>VLOOKUP(A6,'All players'!A$3:A$202,1,FALSE)</f>
        <v>Bucher, James</v>
      </c>
    </row>
    <row r="7" spans="1:5" ht="21" thickBot="1" x14ac:dyDescent="0.35">
      <c r="A7" s="49" t="s">
        <v>836</v>
      </c>
      <c r="B7" s="50">
        <v>0.36805555555555558</v>
      </c>
      <c r="C7" s="49" t="s">
        <v>516</v>
      </c>
      <c r="D7" s="49" t="s">
        <v>837</v>
      </c>
      <c r="E7" s="85" t="e">
        <f>VLOOKUP(A7,'All players'!A$3:A$202,1,FALSE)</f>
        <v>#N/A</v>
      </c>
    </row>
    <row r="8" spans="1:5" ht="31.2" thickBot="1" x14ac:dyDescent="0.35">
      <c r="A8" s="47" t="s">
        <v>40</v>
      </c>
      <c r="B8" s="48">
        <v>0.4236111111111111</v>
      </c>
      <c r="C8" s="47" t="s">
        <v>516</v>
      </c>
      <c r="D8" s="47" t="s">
        <v>838</v>
      </c>
      <c r="E8" s="85" t="str">
        <f>VLOOKUP(A8,'All players'!A$3:A$202,1,FALSE)</f>
        <v>Clark, Jay</v>
      </c>
    </row>
    <row r="9" spans="1:5" ht="21" thickBot="1" x14ac:dyDescent="0.35">
      <c r="A9" s="49" t="s">
        <v>42</v>
      </c>
      <c r="B9" s="50">
        <v>0.3611111111111111</v>
      </c>
      <c r="C9" s="49" t="s">
        <v>516</v>
      </c>
      <c r="D9" s="49" t="s">
        <v>82</v>
      </c>
      <c r="E9" s="85" t="str">
        <f>VLOOKUP(A9,'All players'!A$3:A$202,1,FALSE)</f>
        <v>Coghill, Ryan</v>
      </c>
    </row>
    <row r="10" spans="1:5" ht="31.2" thickBot="1" x14ac:dyDescent="0.35">
      <c r="A10" s="47" t="s">
        <v>46</v>
      </c>
      <c r="B10" s="48">
        <v>0.40277777777777773</v>
      </c>
      <c r="C10" s="47" t="s">
        <v>516</v>
      </c>
      <c r="D10" s="47" t="s">
        <v>839</v>
      </c>
      <c r="E10" s="85" t="str">
        <f>VLOOKUP(A10,'All players'!A$3:A$202,1,FALSE)</f>
        <v>Dickhoff, Mark</v>
      </c>
    </row>
    <row r="11" spans="1:5" ht="31.2" thickBot="1" x14ac:dyDescent="0.35">
      <c r="A11" s="49" t="s">
        <v>47</v>
      </c>
      <c r="B11" s="50">
        <v>0.40277777777777773</v>
      </c>
      <c r="C11" s="49" t="s">
        <v>516</v>
      </c>
      <c r="D11" s="49" t="s">
        <v>840</v>
      </c>
      <c r="E11" s="85" t="str">
        <f>VLOOKUP(A11,'All players'!A$3:A$202,1,FALSE)</f>
        <v>Dickhoff, Walt</v>
      </c>
    </row>
    <row r="12" spans="1:5" ht="51.6" thickBot="1" x14ac:dyDescent="0.35">
      <c r="A12" s="47" t="s">
        <v>475</v>
      </c>
      <c r="B12" s="48">
        <v>0.38194444444444442</v>
      </c>
      <c r="C12" s="47" t="s">
        <v>516</v>
      </c>
      <c r="D12" s="47" t="s">
        <v>841</v>
      </c>
      <c r="E12" s="85" t="str">
        <f>VLOOKUP(A12,'All players'!A$3:A$202,1,FALSE)</f>
        <v>Ecton, Nick</v>
      </c>
    </row>
    <row r="13" spans="1:5" ht="31.2" thickBot="1" x14ac:dyDescent="0.35">
      <c r="A13" s="49" t="s">
        <v>51</v>
      </c>
      <c r="B13" s="50">
        <v>0.33333333333333331</v>
      </c>
      <c r="C13" s="49" t="s">
        <v>516</v>
      </c>
      <c r="D13" s="49" t="s">
        <v>842</v>
      </c>
      <c r="E13" s="85" t="str">
        <f>VLOOKUP(A13,'All players'!A$3:A$202,1,FALSE)</f>
        <v>Eseman, Connelly</v>
      </c>
    </row>
    <row r="14" spans="1:5" ht="31.2" thickBot="1" x14ac:dyDescent="0.35">
      <c r="A14" s="47" t="s">
        <v>52</v>
      </c>
      <c r="B14" s="48">
        <v>0.4375</v>
      </c>
      <c r="C14" s="47" t="s">
        <v>516</v>
      </c>
      <c r="D14" s="47" t="s">
        <v>843</v>
      </c>
      <c r="E14" s="85" t="str">
        <f>VLOOKUP(A14,'All players'!A$3:A$202,1,FALSE)</f>
        <v>Fabela, Dan</v>
      </c>
    </row>
    <row r="15" spans="1:5" ht="31.2" thickBot="1" x14ac:dyDescent="0.35">
      <c r="A15" s="49" t="s">
        <v>55</v>
      </c>
      <c r="B15" s="50">
        <v>0.375</v>
      </c>
      <c r="C15" s="49" t="s">
        <v>516</v>
      </c>
      <c r="D15" s="49" t="s">
        <v>844</v>
      </c>
      <c r="E15" s="85" t="str">
        <f>VLOOKUP(A15,'All players'!A$3:A$202,1,FALSE)</f>
        <v>Fleming, Damon</v>
      </c>
    </row>
    <row r="16" spans="1:5" ht="31.2" thickBot="1" x14ac:dyDescent="0.35">
      <c r="A16" s="47" t="s">
        <v>56</v>
      </c>
      <c r="B16" s="48">
        <v>0.3888888888888889</v>
      </c>
      <c r="C16" s="47" t="s">
        <v>516</v>
      </c>
      <c r="D16" s="47" t="s">
        <v>845</v>
      </c>
      <c r="E16" s="85" t="str">
        <f>VLOOKUP(A16,'All players'!A$3:A$202,1,FALSE)</f>
        <v>Foreman, David</v>
      </c>
    </row>
    <row r="17" spans="1:5" ht="41.4" thickBot="1" x14ac:dyDescent="0.35">
      <c r="A17" s="49" t="s">
        <v>57</v>
      </c>
      <c r="B17" s="50">
        <v>0.35416666666666669</v>
      </c>
      <c r="C17" s="49" t="s">
        <v>516</v>
      </c>
      <c r="D17" s="49" t="s">
        <v>846</v>
      </c>
      <c r="E17" s="85" t="str">
        <f>VLOOKUP(A17,'All players'!A$3:A$202,1,FALSE)</f>
        <v>Fox, Edwin</v>
      </c>
    </row>
    <row r="18" spans="1:5" ht="31.2" thickBot="1" x14ac:dyDescent="0.35">
      <c r="A18" s="47" t="s">
        <v>59</v>
      </c>
      <c r="B18" s="48">
        <v>0.34722222222222227</v>
      </c>
      <c r="C18" s="47" t="s">
        <v>516</v>
      </c>
      <c r="D18" s="47" t="s">
        <v>847</v>
      </c>
      <c r="E18" s="85" t="str">
        <f>VLOOKUP(A18,'All players'!A$3:A$202,1,FALSE)</f>
        <v>Gabler, Jon</v>
      </c>
    </row>
    <row r="19" spans="1:5" ht="31.2" thickBot="1" x14ac:dyDescent="0.35">
      <c r="A19" s="49" t="s">
        <v>60</v>
      </c>
      <c r="B19" s="50">
        <v>0.375</v>
      </c>
      <c r="C19" s="49" t="s">
        <v>516</v>
      </c>
      <c r="D19" s="49" t="s">
        <v>848</v>
      </c>
      <c r="E19" s="85" t="str">
        <f>VLOOKUP(A19,'All players'!A$3:A$202,1,FALSE)</f>
        <v>Gahan, Andrew</v>
      </c>
    </row>
    <row r="20" spans="1:5" ht="31.2" thickBot="1" x14ac:dyDescent="0.35">
      <c r="A20" s="47" t="s">
        <v>72</v>
      </c>
      <c r="B20" s="48">
        <v>0.34027777777777773</v>
      </c>
      <c r="C20" s="47" t="s">
        <v>516</v>
      </c>
      <c r="D20" s="47" t="s">
        <v>849</v>
      </c>
      <c r="E20" s="85" t="str">
        <f>VLOOKUP(A20,'All players'!A$3:A$202,1,FALSE)</f>
        <v>Harrell, Don</v>
      </c>
    </row>
    <row r="21" spans="1:5" ht="21" thickBot="1" x14ac:dyDescent="0.35">
      <c r="A21" s="49" t="s">
        <v>73</v>
      </c>
      <c r="B21" s="50">
        <v>0.36805555555555558</v>
      </c>
      <c r="C21" s="49" t="s">
        <v>516</v>
      </c>
      <c r="D21" s="49" t="s">
        <v>850</v>
      </c>
      <c r="E21" s="85" t="str">
        <f>VLOOKUP(A21,'All players'!A$3:A$202,1,FALSE)</f>
        <v>Hartley, Jack</v>
      </c>
    </row>
    <row r="22" spans="1:5" ht="31.2" thickBot="1" x14ac:dyDescent="0.35">
      <c r="A22" s="47" t="s">
        <v>78</v>
      </c>
      <c r="B22" s="48">
        <v>0.40972222222222227</v>
      </c>
      <c r="C22" s="47" t="s">
        <v>516</v>
      </c>
      <c r="D22" s="47" t="s">
        <v>851</v>
      </c>
      <c r="E22" s="85" t="str">
        <f>VLOOKUP(A22,'All players'!A$3:A$202,1,FALSE)</f>
        <v>Hom, Tom</v>
      </c>
    </row>
    <row r="23" spans="1:5" ht="31.2" thickBot="1" x14ac:dyDescent="0.35">
      <c r="A23" s="49" t="s">
        <v>852</v>
      </c>
      <c r="B23" s="50">
        <v>0.34722222222222227</v>
      </c>
      <c r="C23" s="49" t="s">
        <v>516</v>
      </c>
      <c r="D23" s="49" t="s">
        <v>752</v>
      </c>
      <c r="E23" s="85" t="e">
        <f>VLOOKUP(A23,'All players'!A$3:A$202,1,FALSE)</f>
        <v>#N/A</v>
      </c>
    </row>
    <row r="24" spans="1:5" ht="15" thickBot="1" x14ac:dyDescent="0.35">
      <c r="A24" s="47" t="s">
        <v>82</v>
      </c>
      <c r="B24" s="48">
        <v>0.3611111111111111</v>
      </c>
      <c r="C24" s="47" t="s">
        <v>516</v>
      </c>
      <c r="D24" s="47" t="s">
        <v>42</v>
      </c>
      <c r="E24" s="85" t="str">
        <f>VLOOKUP(A24,'All players'!A$3:A$202,1,FALSE)</f>
        <v>Jackson, Jj</v>
      </c>
    </row>
    <row r="25" spans="1:5" ht="31.2" thickBot="1" x14ac:dyDescent="0.35">
      <c r="A25" s="49" t="s">
        <v>85</v>
      </c>
      <c r="B25" s="50">
        <v>0.43055555555555558</v>
      </c>
      <c r="C25" s="49" t="s">
        <v>516</v>
      </c>
      <c r="D25" s="49" t="s">
        <v>853</v>
      </c>
      <c r="E25" s="85" t="str">
        <f>VLOOKUP(A25,'All players'!A$3:A$202,1,FALSE)</f>
        <v>Johnson, Reed</v>
      </c>
    </row>
    <row r="26" spans="1:5" ht="31.2" thickBot="1" x14ac:dyDescent="0.35">
      <c r="A26" s="47" t="s">
        <v>89</v>
      </c>
      <c r="B26" s="48">
        <v>0.40277777777777773</v>
      </c>
      <c r="C26" s="47" t="s">
        <v>516</v>
      </c>
      <c r="D26" s="47" t="s">
        <v>854</v>
      </c>
      <c r="E26" s="85" t="str">
        <f>VLOOKUP(A26,'All players'!A$3:A$202,1,FALSE)</f>
        <v>Jones, Lee</v>
      </c>
    </row>
    <row r="27" spans="1:5" ht="31.2" thickBot="1" x14ac:dyDescent="0.35">
      <c r="A27" s="49" t="s">
        <v>90</v>
      </c>
      <c r="B27" s="50">
        <v>0.40277777777777773</v>
      </c>
      <c r="C27" s="49" t="s">
        <v>516</v>
      </c>
      <c r="D27" s="49" t="s">
        <v>855</v>
      </c>
      <c r="E27" s="85" t="str">
        <f>VLOOKUP(A27,'All players'!A$3:A$202,1,FALSE)</f>
        <v>Jones, Travis</v>
      </c>
    </row>
    <row r="28" spans="1:5" ht="31.2" thickBot="1" x14ac:dyDescent="0.35">
      <c r="A28" s="47" t="s">
        <v>96</v>
      </c>
      <c r="B28" s="48">
        <v>0.40972222222222227</v>
      </c>
      <c r="C28" s="47" t="s">
        <v>516</v>
      </c>
      <c r="D28" s="47" t="s">
        <v>856</v>
      </c>
      <c r="E28" s="85" t="str">
        <f>VLOOKUP(A28,'All players'!A$3:A$202,1,FALSE)</f>
        <v>Kim, Justin</v>
      </c>
    </row>
    <row r="29" spans="1:5" ht="31.2" thickBot="1" x14ac:dyDescent="0.35">
      <c r="A29" s="49" t="s">
        <v>97</v>
      </c>
      <c r="B29" s="50">
        <v>0.3888888888888889</v>
      </c>
      <c r="C29" s="49" t="s">
        <v>516</v>
      </c>
      <c r="D29" s="49" t="s">
        <v>857</v>
      </c>
      <c r="E29" s="85" t="str">
        <f>VLOOKUP(A29,'All players'!A$3:A$202,1,FALSE)</f>
        <v>Kim, Stephen</v>
      </c>
    </row>
    <row r="30" spans="1:5" ht="31.2" thickBot="1" x14ac:dyDescent="0.35">
      <c r="A30" s="47" t="s">
        <v>103</v>
      </c>
      <c r="B30" s="48">
        <v>0.375</v>
      </c>
      <c r="C30" s="47" t="s">
        <v>516</v>
      </c>
      <c r="D30" s="47" t="s">
        <v>858</v>
      </c>
      <c r="E30" s="85" t="str">
        <f>VLOOKUP(A30,'All players'!A$3:A$202,1,FALSE)</f>
        <v>Larson, Brian</v>
      </c>
    </row>
    <row r="31" spans="1:5" ht="31.2" thickBot="1" x14ac:dyDescent="0.35">
      <c r="A31" s="49" t="s">
        <v>104</v>
      </c>
      <c r="B31" s="50">
        <v>0.34027777777777773</v>
      </c>
      <c r="C31" s="49" t="s">
        <v>516</v>
      </c>
      <c r="D31" s="49" t="s">
        <v>859</v>
      </c>
      <c r="E31" s="85" t="str">
        <f>VLOOKUP(A31,'All players'!A$3:A$202,1,FALSE)</f>
        <v>Leboa, Carl</v>
      </c>
    </row>
    <row r="32" spans="1:5" ht="31.2" thickBot="1" x14ac:dyDescent="0.35">
      <c r="A32" s="47" t="s">
        <v>107</v>
      </c>
      <c r="B32" s="48">
        <v>0.43055555555555558</v>
      </c>
      <c r="C32" s="47" t="s">
        <v>516</v>
      </c>
      <c r="D32" s="47" t="s">
        <v>672</v>
      </c>
      <c r="E32" s="85" t="str">
        <f>VLOOKUP(A32,'All players'!A$3:A$202,1,FALSE)</f>
        <v>Lipe, Matthew</v>
      </c>
    </row>
    <row r="33" spans="1:5" ht="31.2" thickBot="1" x14ac:dyDescent="0.35">
      <c r="A33" s="49" t="s">
        <v>109</v>
      </c>
      <c r="B33" s="50">
        <v>0.34027777777777773</v>
      </c>
      <c r="C33" s="49" t="s">
        <v>516</v>
      </c>
      <c r="D33" s="49" t="s">
        <v>541</v>
      </c>
      <c r="E33" s="85" t="str">
        <f>VLOOKUP(A33,'All players'!A$3:A$202,1,FALSE)</f>
        <v>Lopez, Joseph</v>
      </c>
    </row>
    <row r="34" spans="1:5" ht="51.6" thickBot="1" x14ac:dyDescent="0.35">
      <c r="A34" s="47" t="s">
        <v>477</v>
      </c>
      <c r="B34" s="48">
        <v>0.38194444444444442</v>
      </c>
      <c r="C34" s="47" t="s">
        <v>516</v>
      </c>
      <c r="D34" s="47" t="s">
        <v>860</v>
      </c>
      <c r="E34" s="85" t="str">
        <f>VLOOKUP(A34,'All players'!A$3:A$202,1,FALSE)</f>
        <v>Lund, Evan</v>
      </c>
    </row>
    <row r="35" spans="1:5" ht="41.4" thickBot="1" x14ac:dyDescent="0.35">
      <c r="A35" s="49" t="s">
        <v>235</v>
      </c>
      <c r="B35" s="50">
        <v>0.38194444444444442</v>
      </c>
      <c r="C35" s="49" t="s">
        <v>516</v>
      </c>
      <c r="D35" s="49" t="s">
        <v>861</v>
      </c>
      <c r="E35" s="85" t="str">
        <f>VLOOKUP(A35,'All players'!A$3:A$202,1,FALSE)</f>
        <v>Markwardt, Robert</v>
      </c>
    </row>
    <row r="36" spans="1:5" ht="31.2" thickBot="1" x14ac:dyDescent="0.35">
      <c r="A36" s="47" t="s">
        <v>127</v>
      </c>
      <c r="B36" s="48">
        <v>0.33333333333333331</v>
      </c>
      <c r="C36" s="47" t="s">
        <v>516</v>
      </c>
      <c r="D36" s="47" t="s">
        <v>862</v>
      </c>
      <c r="E36" s="85" t="str">
        <f>VLOOKUP(A36,'All players'!A$3:A$202,1,FALSE)</f>
        <v>McShane, Daniel</v>
      </c>
    </row>
    <row r="37" spans="1:5" ht="21" thickBot="1" x14ac:dyDescent="0.35">
      <c r="A37" s="49" t="s">
        <v>129</v>
      </c>
      <c r="B37" s="50">
        <v>0.41666666666666669</v>
      </c>
      <c r="C37" s="49" t="s">
        <v>516</v>
      </c>
      <c r="D37" s="49" t="s">
        <v>863</v>
      </c>
      <c r="E37" s="85" t="str">
        <f>VLOOKUP(A37,'All players'!A$3:A$202,1,FALSE)</f>
        <v>Mietzner, Jeffrey</v>
      </c>
    </row>
    <row r="38" spans="1:5" ht="31.2" thickBot="1" x14ac:dyDescent="0.35">
      <c r="A38" s="47" t="s">
        <v>133</v>
      </c>
      <c r="B38" s="48">
        <v>0.4236111111111111</v>
      </c>
      <c r="C38" s="47" t="s">
        <v>516</v>
      </c>
      <c r="D38" s="47" t="s">
        <v>864</v>
      </c>
      <c r="E38" s="85" t="str">
        <f>VLOOKUP(A38,'All players'!A$3:A$202,1,FALSE)</f>
        <v>Nelson, Rick</v>
      </c>
    </row>
    <row r="39" spans="1:5" ht="31.2" thickBot="1" x14ac:dyDescent="0.35">
      <c r="A39" s="49" t="s">
        <v>134</v>
      </c>
      <c r="B39" s="50">
        <v>0.35416666666666669</v>
      </c>
      <c r="C39" s="49" t="s">
        <v>516</v>
      </c>
      <c r="D39" s="49" t="s">
        <v>865</v>
      </c>
      <c r="E39" s="85" t="str">
        <f>VLOOKUP(A39,'All players'!A$3:A$202,1,FALSE)</f>
        <v>Niemeyer, Christopher</v>
      </c>
    </row>
    <row r="40" spans="1:5" ht="31.2" thickBot="1" x14ac:dyDescent="0.35">
      <c r="A40" s="47" t="s">
        <v>141</v>
      </c>
      <c r="B40" s="48">
        <v>0.4236111111111111</v>
      </c>
      <c r="C40" s="47" t="s">
        <v>516</v>
      </c>
      <c r="D40" s="47" t="s">
        <v>866</v>
      </c>
      <c r="E40" s="85" t="str">
        <f>VLOOKUP(A40,'All players'!A$3:A$202,1,FALSE)</f>
        <v>Ohrenschall, Mark</v>
      </c>
    </row>
    <row r="41" spans="1:5" ht="31.2" thickBot="1" x14ac:dyDescent="0.35">
      <c r="A41" s="49" t="s">
        <v>142</v>
      </c>
      <c r="B41" s="50">
        <v>0.4236111111111111</v>
      </c>
      <c r="C41" s="49" t="s">
        <v>516</v>
      </c>
      <c r="D41" s="49" t="s">
        <v>867</v>
      </c>
      <c r="E41" s="85" t="str">
        <f>VLOOKUP(A41,'All players'!A$3:A$202,1,FALSE)</f>
        <v>Olin, Randy</v>
      </c>
    </row>
    <row r="42" spans="1:5" ht="31.2" thickBot="1" x14ac:dyDescent="0.35">
      <c r="A42" s="47" t="s">
        <v>143</v>
      </c>
      <c r="B42" s="48">
        <v>0.40972222222222227</v>
      </c>
      <c r="C42" s="47" t="s">
        <v>516</v>
      </c>
      <c r="D42" s="47" t="s">
        <v>868</v>
      </c>
      <c r="E42" s="85" t="str">
        <f>VLOOKUP(A42,'All players'!A$3:A$202,1,FALSE)</f>
        <v>Osuga, Yasuhisa</v>
      </c>
    </row>
    <row r="43" spans="1:5" ht="31.2" thickBot="1" x14ac:dyDescent="0.35">
      <c r="A43" s="49" t="s">
        <v>144</v>
      </c>
      <c r="B43" s="50">
        <v>0.33333333333333331</v>
      </c>
      <c r="C43" s="49" t="s">
        <v>516</v>
      </c>
      <c r="D43" s="49" t="s">
        <v>869</v>
      </c>
      <c r="E43" s="85" t="str">
        <f>VLOOKUP(A43,'All players'!A$3:A$202,1,FALSE)</f>
        <v>Parsons, Cole</v>
      </c>
    </row>
    <row r="44" spans="1:5" ht="21" thickBot="1" x14ac:dyDescent="0.35">
      <c r="A44" s="47" t="s">
        <v>870</v>
      </c>
      <c r="B44" s="48">
        <v>0.41666666666666669</v>
      </c>
      <c r="C44" s="47" t="s">
        <v>516</v>
      </c>
      <c r="D44" s="47" t="s">
        <v>871</v>
      </c>
      <c r="E44" s="85" t="e">
        <f>VLOOKUP(A44,'All players'!A$3:A$202,1,FALSE)</f>
        <v>#N/A</v>
      </c>
    </row>
    <row r="45" spans="1:5" ht="21" thickBot="1" x14ac:dyDescent="0.35">
      <c r="A45" s="49" t="s">
        <v>148</v>
      </c>
      <c r="B45" s="50">
        <v>0.41666666666666669</v>
      </c>
      <c r="C45" s="49" t="s">
        <v>516</v>
      </c>
      <c r="D45" s="49" t="s">
        <v>872</v>
      </c>
      <c r="E45" s="85" t="str">
        <f>VLOOKUP(A45,'All players'!A$3:A$202,1,FALSE)</f>
        <v>Persinger, Mark</v>
      </c>
    </row>
    <row r="46" spans="1:5" ht="31.2" thickBot="1" x14ac:dyDescent="0.35">
      <c r="A46" s="47" t="s">
        <v>149</v>
      </c>
      <c r="B46" s="48">
        <v>0.375</v>
      </c>
      <c r="C46" s="47" t="s">
        <v>516</v>
      </c>
      <c r="D46" s="47" t="s">
        <v>873</v>
      </c>
      <c r="E46" s="85" t="str">
        <f>VLOOKUP(A46,'All players'!A$3:A$202,1,FALSE)</f>
        <v>Petersen, Nicolai</v>
      </c>
    </row>
    <row r="47" spans="1:5" ht="31.2" thickBot="1" x14ac:dyDescent="0.35">
      <c r="A47" s="49" t="s">
        <v>153</v>
      </c>
      <c r="B47" s="50">
        <v>0.4375</v>
      </c>
      <c r="C47" s="49" t="s">
        <v>516</v>
      </c>
      <c r="D47" s="49" t="s">
        <v>874</v>
      </c>
      <c r="E47" s="85" t="str">
        <f>VLOOKUP(A47,'All players'!A$3:A$202,1,FALSE)</f>
        <v>Porter, Thomas</v>
      </c>
    </row>
    <row r="48" spans="1:5" ht="31.2" thickBot="1" x14ac:dyDescent="0.35">
      <c r="A48" s="47" t="s">
        <v>154</v>
      </c>
      <c r="B48" s="48">
        <v>0.4375</v>
      </c>
      <c r="C48" s="47" t="s">
        <v>516</v>
      </c>
      <c r="D48" s="47" t="s">
        <v>875</v>
      </c>
      <c r="E48" s="85" t="str">
        <f>VLOOKUP(A48,'All players'!A$3:A$202,1,FALSE)</f>
        <v>Pringle, Ryne</v>
      </c>
    </row>
    <row r="49" spans="1:5" ht="21" thickBot="1" x14ac:dyDescent="0.35">
      <c r="A49" s="49" t="s">
        <v>165</v>
      </c>
      <c r="B49" s="50">
        <v>0.39583333333333331</v>
      </c>
      <c r="C49" s="49" t="s">
        <v>516</v>
      </c>
      <c r="D49" s="49" t="s">
        <v>876</v>
      </c>
      <c r="E49" s="85" t="str">
        <f>VLOOKUP(A49,'All players'!A$3:A$202,1,FALSE)</f>
        <v>Robel, Jack</v>
      </c>
    </row>
    <row r="50" spans="1:5" ht="41.4" thickBot="1" x14ac:dyDescent="0.35">
      <c r="A50" s="47" t="s">
        <v>168</v>
      </c>
      <c r="B50" s="48">
        <v>0.35416666666666669</v>
      </c>
      <c r="C50" s="47" t="s">
        <v>516</v>
      </c>
      <c r="D50" s="47" t="s">
        <v>877</v>
      </c>
      <c r="E50" s="85" t="str">
        <f>VLOOKUP(A50,'All players'!A$3:A$202,1,FALSE)</f>
        <v>Rockey, Cory</v>
      </c>
    </row>
    <row r="51" spans="1:5" ht="31.2" thickBot="1" x14ac:dyDescent="0.35">
      <c r="A51" s="49" t="s">
        <v>172</v>
      </c>
      <c r="B51" s="50">
        <v>0.4375</v>
      </c>
      <c r="C51" s="49" t="s">
        <v>516</v>
      </c>
      <c r="D51" s="49" t="s">
        <v>878</v>
      </c>
      <c r="E51" s="85" t="str">
        <f>VLOOKUP(A51,'All players'!A$3:A$202,1,FALSE)</f>
        <v>Rowe, Tim</v>
      </c>
    </row>
    <row r="52" spans="1:5" ht="21" thickBot="1" x14ac:dyDescent="0.35">
      <c r="A52" s="47" t="s">
        <v>174</v>
      </c>
      <c r="B52" s="48">
        <v>0.36805555555555558</v>
      </c>
      <c r="C52" s="47" t="s">
        <v>516</v>
      </c>
      <c r="D52" s="47" t="s">
        <v>879</v>
      </c>
      <c r="E52" s="85" t="str">
        <f>VLOOKUP(A52,'All players'!A$3:A$202,1,FALSE)</f>
        <v>Rutz, Oliver</v>
      </c>
    </row>
    <row r="53" spans="1:5" ht="31.2" thickBot="1" x14ac:dyDescent="0.35">
      <c r="A53" s="49" t="s">
        <v>178</v>
      </c>
      <c r="B53" s="50">
        <v>0.43055555555555558</v>
      </c>
      <c r="C53" s="49" t="s">
        <v>516</v>
      </c>
      <c r="D53" s="49" t="s">
        <v>880</v>
      </c>
      <c r="E53" s="85" t="str">
        <f>VLOOKUP(A53,'All players'!A$3:A$202,1,FALSE)</f>
        <v>Schoening, Jeffrey</v>
      </c>
    </row>
    <row r="54" spans="1:5" ht="21" thickBot="1" x14ac:dyDescent="0.35">
      <c r="A54" s="47" t="s">
        <v>185</v>
      </c>
      <c r="B54" s="48">
        <v>0.39583333333333331</v>
      </c>
      <c r="C54" s="47" t="s">
        <v>516</v>
      </c>
      <c r="D54" s="47" t="s">
        <v>881</v>
      </c>
      <c r="E54" s="85" t="str">
        <f>VLOOKUP(A54,'All players'!A$3:A$202,1,FALSE)</f>
        <v>Sifferman, Greg</v>
      </c>
    </row>
    <row r="55" spans="1:5" ht="21" thickBot="1" x14ac:dyDescent="0.35">
      <c r="A55" s="49" t="s">
        <v>188</v>
      </c>
      <c r="B55" s="50">
        <v>0.39583333333333331</v>
      </c>
      <c r="C55" s="49" t="s">
        <v>516</v>
      </c>
      <c r="D55" s="49" t="s">
        <v>882</v>
      </c>
      <c r="E55" s="85" t="str">
        <f>VLOOKUP(A55,'All players'!A$3:A$202,1,FALSE)</f>
        <v>Sifferman, Zach</v>
      </c>
    </row>
    <row r="56" spans="1:5" ht="31.2" thickBot="1" x14ac:dyDescent="0.35">
      <c r="A56" s="47" t="s">
        <v>190</v>
      </c>
      <c r="B56" s="48">
        <v>0.33333333333333331</v>
      </c>
      <c r="C56" s="47" t="s">
        <v>516</v>
      </c>
      <c r="D56" s="47" t="s">
        <v>883</v>
      </c>
      <c r="E56" s="85" t="str">
        <f>VLOOKUP(A56,'All players'!A$3:A$202,1,FALSE)</f>
        <v>Smith, Ken</v>
      </c>
    </row>
    <row r="57" spans="1:5" ht="41.4" thickBot="1" x14ac:dyDescent="0.35">
      <c r="A57" s="49" t="s">
        <v>194</v>
      </c>
      <c r="B57" s="50">
        <v>0.38194444444444442</v>
      </c>
      <c r="C57" s="49" t="s">
        <v>516</v>
      </c>
      <c r="D57" s="49" t="s">
        <v>884</v>
      </c>
      <c r="E57" s="85" t="str">
        <f>VLOOKUP(A57,'All players'!A$3:A$202,1,FALSE)</f>
        <v>Stutzenberger, Matthew</v>
      </c>
    </row>
    <row r="58" spans="1:5" ht="31.2" thickBot="1" x14ac:dyDescent="0.35">
      <c r="A58" s="47" t="s">
        <v>197</v>
      </c>
      <c r="B58" s="48">
        <v>0.3888888888888889</v>
      </c>
      <c r="C58" s="47" t="s">
        <v>516</v>
      </c>
      <c r="D58" s="47" t="s">
        <v>885</v>
      </c>
      <c r="E58" s="85" t="str">
        <f>VLOOKUP(A58,'All players'!A$3:A$202,1,FALSE)</f>
        <v>Thorson, Thomas</v>
      </c>
    </row>
    <row r="59" spans="1:5" ht="31.2" thickBot="1" x14ac:dyDescent="0.35">
      <c r="A59" s="49" t="s">
        <v>205</v>
      </c>
      <c r="B59" s="50">
        <v>0.40972222222222227</v>
      </c>
      <c r="C59" s="49" t="s">
        <v>516</v>
      </c>
      <c r="D59" s="49" t="s">
        <v>886</v>
      </c>
      <c r="E59" s="85" t="str">
        <f>VLOOKUP(A59,'All players'!A$3:A$202,1,FALSE)</f>
        <v>Wattula, Mel</v>
      </c>
    </row>
    <row r="60" spans="1:5" ht="41.4" thickBot="1" x14ac:dyDescent="0.35">
      <c r="A60" s="51" t="s">
        <v>211</v>
      </c>
      <c r="B60" s="52">
        <v>0.35416666666666669</v>
      </c>
      <c r="C60" s="51" t="s">
        <v>516</v>
      </c>
      <c r="D60" s="51" t="s">
        <v>887</v>
      </c>
      <c r="E60" s="85" t="str">
        <f>VLOOKUP(A60,'All players'!A$3:A$202,1,FALSE)</f>
        <v>Wilson, Patrick</v>
      </c>
    </row>
  </sheetData>
  <autoFilter ref="A1:E60" xr:uid="{914F3D40-00BD-4960-B29D-42947ED14EFD}"/>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268F7-0011-4FA7-8DBF-FC403DA55281}">
  <dimension ref="A1:G18"/>
  <sheetViews>
    <sheetView workbookViewId="0">
      <selection activeCell="C1" sqref="C1"/>
    </sheetView>
    <sheetView workbookViewId="1">
      <selection activeCell="D8" sqref="D8"/>
    </sheetView>
    <sheetView workbookViewId="2">
      <selection sqref="A1:B1"/>
    </sheetView>
  </sheetViews>
  <sheetFormatPr defaultRowHeight="14.4" x14ac:dyDescent="0.3"/>
  <cols>
    <col min="1" max="2" width="8.88671875" style="87"/>
    <col min="3" max="3" width="10.77734375" style="87" bestFit="1" customWidth="1"/>
    <col min="4" max="4" width="10.77734375" style="87" customWidth="1"/>
    <col min="5" max="16384" width="8.88671875" style="87"/>
  </cols>
  <sheetData>
    <row r="1" spans="1:7" x14ac:dyDescent="0.3">
      <c r="A1" s="101" t="s">
        <v>890</v>
      </c>
      <c r="B1" s="101"/>
      <c r="C1" s="41">
        <v>44513</v>
      </c>
      <c r="D1" s="41"/>
      <c r="E1" s="45"/>
    </row>
    <row r="2" spans="1:7" x14ac:dyDescent="0.3">
      <c r="A2" s="36" t="s">
        <v>501</v>
      </c>
      <c r="B2" s="36" t="s">
        <v>502</v>
      </c>
      <c r="C2" s="36" t="s">
        <v>503</v>
      </c>
      <c r="D2" s="36" t="s">
        <v>504</v>
      </c>
      <c r="E2" s="36" t="s">
        <v>505</v>
      </c>
      <c r="F2" s="104" t="s">
        <v>506</v>
      </c>
      <c r="G2" s="104"/>
    </row>
    <row r="3" spans="1:7" x14ac:dyDescent="0.3">
      <c r="A3" s="105">
        <v>0.3611111111111111</v>
      </c>
      <c r="B3" s="105">
        <v>0.36180555555555555</v>
      </c>
      <c r="C3" s="105">
        <v>0.53194444444444444</v>
      </c>
      <c r="D3" s="38">
        <f>C3-B3</f>
        <v>0.1701388888888889</v>
      </c>
      <c r="E3" s="106" t="s">
        <v>507</v>
      </c>
      <c r="F3" s="37">
        <f>COUNT(A4:A$21)*4</f>
        <v>48</v>
      </c>
    </row>
    <row r="4" spans="1:7" x14ac:dyDescent="0.3">
      <c r="A4" s="105">
        <v>0.36805555555555558</v>
      </c>
      <c r="B4" s="105">
        <v>0.36805555555555558</v>
      </c>
      <c r="C4" s="105">
        <v>0.53819444444444442</v>
      </c>
      <c r="D4" s="38">
        <f t="shared" ref="D4:D15" si="0">C4-B4</f>
        <v>0.17013888888888884</v>
      </c>
      <c r="E4" s="105">
        <v>6.2499999999999995E-3</v>
      </c>
      <c r="F4" s="37">
        <f>COUNT(A5:A$21)*4</f>
        <v>44</v>
      </c>
    </row>
    <row r="5" spans="1:7" x14ac:dyDescent="0.3">
      <c r="A5" s="105">
        <v>0.375</v>
      </c>
      <c r="B5" s="105">
        <v>0.37361111111111112</v>
      </c>
      <c r="C5" s="105">
        <v>0.54236111111111118</v>
      </c>
      <c r="D5" s="38">
        <f t="shared" si="0"/>
        <v>0.16875000000000007</v>
      </c>
      <c r="E5" s="105">
        <v>4.1666666666666666E-3</v>
      </c>
      <c r="F5" s="37">
        <f>COUNT(A6:A$21)*4</f>
        <v>40</v>
      </c>
    </row>
    <row r="6" spans="1:7" x14ac:dyDescent="0.3">
      <c r="A6" s="105">
        <v>0.38194444444444442</v>
      </c>
      <c r="B6" s="105">
        <v>0.38055555555555554</v>
      </c>
      <c r="C6" s="105">
        <v>0.55347222222222225</v>
      </c>
      <c r="D6" s="38">
        <f t="shared" si="0"/>
        <v>0.17291666666666672</v>
      </c>
      <c r="E6" s="105">
        <v>1.1111111111111112E-2</v>
      </c>
      <c r="F6" s="37">
        <f>COUNT(A7:A$21)*4</f>
        <v>36</v>
      </c>
    </row>
    <row r="7" spans="1:7" x14ac:dyDescent="0.3">
      <c r="A7" s="105">
        <v>0.3888888888888889</v>
      </c>
      <c r="B7" s="105">
        <v>0.38750000000000001</v>
      </c>
      <c r="C7" s="105">
        <v>0.55763888888888891</v>
      </c>
      <c r="D7" s="38">
        <f t="shared" si="0"/>
        <v>0.1701388888888889</v>
      </c>
      <c r="E7" s="105">
        <v>4.1666666666666666E-3</v>
      </c>
      <c r="F7" s="37">
        <f>COUNT(A8:A$21)*4</f>
        <v>32</v>
      </c>
    </row>
    <row r="8" spans="1:7" x14ac:dyDescent="0.3">
      <c r="A8" s="105">
        <v>0.39583333333333331</v>
      </c>
      <c r="B8" s="105">
        <v>0.39444444444444443</v>
      </c>
      <c r="C8" s="105">
        <v>0.56597222222222221</v>
      </c>
      <c r="D8" s="38">
        <f t="shared" si="0"/>
        <v>0.17152777777777778</v>
      </c>
      <c r="E8" s="105">
        <v>8.3333333333333332E-3</v>
      </c>
      <c r="F8" s="37">
        <f>COUNT(A9:A$21)*4</f>
        <v>28</v>
      </c>
    </row>
    <row r="9" spans="1:7" x14ac:dyDescent="0.3">
      <c r="A9" s="105">
        <v>0.40277777777777773</v>
      </c>
      <c r="B9" s="105">
        <v>0.40138888888888885</v>
      </c>
      <c r="C9" s="105">
        <v>0.57430555555555551</v>
      </c>
      <c r="D9" s="38">
        <f t="shared" si="0"/>
        <v>0.17291666666666666</v>
      </c>
      <c r="E9" s="105">
        <v>8.3333333333333332E-3</v>
      </c>
      <c r="F9" s="37">
        <f>COUNT(A10:A$21)*4</f>
        <v>24</v>
      </c>
    </row>
    <row r="10" spans="1:7" x14ac:dyDescent="0.3">
      <c r="A10" s="105">
        <v>0.40972222222222227</v>
      </c>
      <c r="B10" s="105">
        <v>0.40833333333333338</v>
      </c>
      <c r="C10" s="105">
        <v>0.58402777777777781</v>
      </c>
      <c r="D10" s="38">
        <f t="shared" si="0"/>
        <v>0.17569444444444443</v>
      </c>
      <c r="E10" s="105">
        <v>9.7222222222222224E-3</v>
      </c>
      <c r="F10" s="37">
        <f>COUNT(A11:A$21)*4</f>
        <v>20</v>
      </c>
    </row>
    <row r="11" spans="1:7" x14ac:dyDescent="0.3">
      <c r="A11" s="105">
        <v>0.41666666666666669</v>
      </c>
      <c r="B11" s="105">
        <v>0.41597222222222219</v>
      </c>
      <c r="C11" s="105">
        <v>0.59652777777777777</v>
      </c>
      <c r="D11" s="38">
        <f t="shared" si="0"/>
        <v>0.18055555555555558</v>
      </c>
      <c r="E11" s="105">
        <v>1.2499999999999999E-2</v>
      </c>
      <c r="F11" s="37">
        <f>COUNT(A12:A$21)*4</f>
        <v>16</v>
      </c>
    </row>
    <row r="12" spans="1:7" x14ac:dyDescent="0.3">
      <c r="A12" s="105">
        <v>0.4236111111111111</v>
      </c>
      <c r="B12" s="105">
        <v>0.42222222222222222</v>
      </c>
      <c r="C12" s="105">
        <v>0.6</v>
      </c>
      <c r="D12" s="38">
        <f t="shared" si="0"/>
        <v>0.17777777777777776</v>
      </c>
      <c r="E12" s="105">
        <v>3.472222222222222E-3</v>
      </c>
      <c r="F12" s="37">
        <f>COUNT(A13:A$21)*4</f>
        <v>12</v>
      </c>
    </row>
    <row r="13" spans="1:7" x14ac:dyDescent="0.3">
      <c r="A13" s="105">
        <v>0.43055555555555558</v>
      </c>
      <c r="B13" s="105">
        <v>0.42777777777777781</v>
      </c>
      <c r="C13" s="105">
        <v>0.60763888888888895</v>
      </c>
      <c r="D13" s="38">
        <f t="shared" si="0"/>
        <v>0.17986111111111114</v>
      </c>
      <c r="E13" s="105">
        <v>7.6388888888888886E-3</v>
      </c>
      <c r="F13" s="37">
        <f>COUNT(A14:A$21)*4</f>
        <v>8</v>
      </c>
    </row>
    <row r="14" spans="1:7" x14ac:dyDescent="0.3">
      <c r="A14" s="105">
        <v>0.4375</v>
      </c>
      <c r="B14" s="105">
        <v>0.43472222222222223</v>
      </c>
      <c r="C14" s="105">
        <v>0.61736111111111114</v>
      </c>
      <c r="D14" s="38">
        <f t="shared" si="0"/>
        <v>0.18263888888888891</v>
      </c>
      <c r="E14" s="105">
        <v>9.7222222222222224E-3</v>
      </c>
      <c r="F14" s="37">
        <f>COUNT(A15:A$21)*4</f>
        <v>4</v>
      </c>
    </row>
    <row r="15" spans="1:7" x14ac:dyDescent="0.3">
      <c r="A15" s="105">
        <v>0.44444444444444442</v>
      </c>
      <c r="B15" s="105">
        <v>0.44375000000000003</v>
      </c>
      <c r="C15" s="105">
        <v>0.62430555555555556</v>
      </c>
      <c r="D15" s="38">
        <f t="shared" si="0"/>
        <v>0.18055555555555552</v>
      </c>
      <c r="E15" s="105">
        <v>6.9444444444444441E-3</v>
      </c>
      <c r="F15" s="37">
        <f>COUNT(A16:A$21)*4</f>
        <v>0</v>
      </c>
    </row>
    <row r="16" spans="1:7" x14ac:dyDescent="0.3">
      <c r="A16" s="38"/>
      <c r="B16" s="38"/>
      <c r="C16" s="38"/>
      <c r="D16" s="38"/>
      <c r="E16" s="38"/>
      <c r="F16" s="37"/>
    </row>
    <row r="17" spans="1:6" x14ac:dyDescent="0.3">
      <c r="A17" s="38"/>
      <c r="B17" s="38"/>
      <c r="C17" s="38"/>
      <c r="D17" s="38"/>
      <c r="E17" s="38"/>
      <c r="F17" s="37"/>
    </row>
    <row r="18" spans="1:6" x14ac:dyDescent="0.3">
      <c r="A18" s="38"/>
      <c r="B18" s="38"/>
      <c r="C18" s="38"/>
      <c r="D18" s="38"/>
      <c r="E18" s="38"/>
      <c r="F18" s="37"/>
    </row>
  </sheetData>
  <mergeCells count="2">
    <mergeCell ref="A1:B1"/>
    <mergeCell ref="F2:G2"/>
  </mergeCell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A0EF4-8209-40BC-BEA6-CFEF870B0772}">
  <dimension ref="A1:E51"/>
  <sheetViews>
    <sheetView workbookViewId="0">
      <selection activeCell="B7" sqref="B7"/>
    </sheetView>
    <sheetView workbookViewId="1">
      <selection activeCell="E2" sqref="E2"/>
    </sheetView>
    <sheetView tabSelected="1" topLeftCell="A43" workbookViewId="2">
      <selection activeCell="A43" sqref="A43"/>
    </sheetView>
  </sheetViews>
  <sheetFormatPr defaultRowHeight="14.4" x14ac:dyDescent="0.3"/>
  <cols>
    <col min="1" max="3" width="8.88671875" style="87"/>
    <col min="4" max="4" width="12.6640625" style="87" customWidth="1"/>
    <col min="5" max="5" width="13.44140625" style="87" customWidth="1"/>
    <col min="6" max="16384" width="8.88671875" style="87"/>
  </cols>
  <sheetData>
    <row r="1" spans="1:5" ht="15" thickBot="1" x14ac:dyDescent="0.35">
      <c r="A1" s="46" t="s">
        <v>508</v>
      </c>
      <c r="B1" s="46" t="s">
        <v>509</v>
      </c>
      <c r="C1" s="46" t="s">
        <v>510</v>
      </c>
      <c r="D1" s="46" t="s">
        <v>511</v>
      </c>
      <c r="E1" s="88" t="s">
        <v>889</v>
      </c>
    </row>
    <row r="2" spans="1:5" ht="41.4" thickBot="1" x14ac:dyDescent="0.35">
      <c r="A2" s="47" t="s">
        <v>5</v>
      </c>
      <c r="B2" s="48">
        <v>0.40277777777777773</v>
      </c>
      <c r="C2" s="47" t="s">
        <v>634</v>
      </c>
      <c r="D2" s="47" t="s">
        <v>891</v>
      </c>
      <c r="E2" s="87" t="str">
        <f>VLOOKUP(A2,'All players'!A$3:A$202,1,FALSE)</f>
        <v>Asplund, Brian</v>
      </c>
    </row>
    <row r="3" spans="1:5" ht="41.4" thickBot="1" x14ac:dyDescent="0.35">
      <c r="A3" s="49" t="s">
        <v>6</v>
      </c>
      <c r="B3" s="50">
        <v>0.40972222222222227</v>
      </c>
      <c r="C3" s="49" t="s">
        <v>634</v>
      </c>
      <c r="D3" s="49" t="s">
        <v>892</v>
      </c>
      <c r="E3" s="87" t="str">
        <f>VLOOKUP(A3,'All players'!A$3:A$202,1,FALSE)</f>
        <v>Bade, Michael</v>
      </c>
    </row>
    <row r="4" spans="1:5" ht="31.2" thickBot="1" x14ac:dyDescent="0.35">
      <c r="A4" s="47" t="s">
        <v>10</v>
      </c>
      <c r="B4" s="48">
        <v>0.4236111111111111</v>
      </c>
      <c r="C4" s="47" t="s">
        <v>634</v>
      </c>
      <c r="D4" s="47" t="s">
        <v>893</v>
      </c>
      <c r="E4" s="87" t="str">
        <f>VLOOKUP(A4,'All players'!A$3:A$202,1,FALSE)</f>
        <v>Bergeson, Jordan</v>
      </c>
    </row>
    <row r="5" spans="1:5" ht="31.2" thickBot="1" x14ac:dyDescent="0.35">
      <c r="A5" s="49" t="s">
        <v>11</v>
      </c>
      <c r="B5" s="50">
        <v>0.4236111111111111</v>
      </c>
      <c r="C5" s="49" t="s">
        <v>634</v>
      </c>
      <c r="D5" s="49" t="s">
        <v>894</v>
      </c>
      <c r="E5" s="87" t="str">
        <f>VLOOKUP(A5,'All players'!A$3:A$202,1,FALSE)</f>
        <v>Bergeson, Ryan</v>
      </c>
    </row>
    <row r="6" spans="1:5" ht="31.2" thickBot="1" x14ac:dyDescent="0.35">
      <c r="A6" s="47" t="s">
        <v>12</v>
      </c>
      <c r="B6" s="48">
        <v>0.36805555555555558</v>
      </c>
      <c r="C6" s="47" t="s">
        <v>634</v>
      </c>
      <c r="D6" s="47" t="s">
        <v>895</v>
      </c>
      <c r="E6" s="87" t="str">
        <f>VLOOKUP(A6,'All players'!A$3:A$202,1,FALSE)</f>
        <v>Bernard, Michael</v>
      </c>
    </row>
    <row r="7" spans="1:5" ht="41.4" thickBot="1" x14ac:dyDescent="0.35">
      <c r="A7" s="49" t="s">
        <v>13</v>
      </c>
      <c r="B7" s="50">
        <v>0.3888888888888889</v>
      </c>
      <c r="C7" s="49" t="s">
        <v>634</v>
      </c>
      <c r="D7" s="49" t="s">
        <v>846</v>
      </c>
      <c r="E7" s="87" t="str">
        <f>VLOOKUP(A7,'All players'!A$3:A$202,1,FALSE)</f>
        <v>Beyer, Matthew</v>
      </c>
    </row>
    <row r="8" spans="1:5" ht="21" thickBot="1" x14ac:dyDescent="0.35">
      <c r="A8" s="47" t="s">
        <v>17</v>
      </c>
      <c r="B8" s="48">
        <v>0.375</v>
      </c>
      <c r="C8" s="47" t="s">
        <v>634</v>
      </c>
      <c r="D8" s="47" t="s">
        <v>896</v>
      </c>
      <c r="E8" s="87" t="str">
        <f>VLOOKUP(A8,'All players'!A$3:A$202,1,FALSE)</f>
        <v>Bowen, Brock</v>
      </c>
    </row>
    <row r="9" spans="1:5" ht="21" thickBot="1" x14ac:dyDescent="0.35">
      <c r="A9" s="49" t="s">
        <v>27</v>
      </c>
      <c r="B9" s="50">
        <v>0.375</v>
      </c>
      <c r="C9" s="49" t="s">
        <v>634</v>
      </c>
      <c r="D9" s="49" t="s">
        <v>897</v>
      </c>
      <c r="E9" s="87" t="str">
        <f>VLOOKUP(A9,'All players'!A$3:A$202,1,FALSE)</f>
        <v>Bucher, James</v>
      </c>
    </row>
    <row r="10" spans="1:5" ht="21" thickBot="1" x14ac:dyDescent="0.35">
      <c r="A10" s="47" t="s">
        <v>40</v>
      </c>
      <c r="B10" s="48">
        <v>0.43055555555555558</v>
      </c>
      <c r="C10" s="47" t="s">
        <v>634</v>
      </c>
      <c r="D10" s="47" t="s">
        <v>898</v>
      </c>
      <c r="E10" s="87" t="str">
        <f>VLOOKUP(A10,'All players'!A$3:A$202,1,FALSE)</f>
        <v>Clark, Jay</v>
      </c>
    </row>
    <row r="11" spans="1:5" ht="31.2" thickBot="1" x14ac:dyDescent="0.35">
      <c r="A11" s="49" t="s">
        <v>899</v>
      </c>
      <c r="B11" s="50">
        <v>0.40277777777777773</v>
      </c>
      <c r="C11" s="49" t="s">
        <v>634</v>
      </c>
      <c r="D11" s="49" t="s">
        <v>900</v>
      </c>
      <c r="E11" s="87" t="e">
        <f>VLOOKUP(A11,'All players'!A$3:A$202,1,FALSE)</f>
        <v>#N/A</v>
      </c>
    </row>
    <row r="12" spans="1:5" ht="31.2" thickBot="1" x14ac:dyDescent="0.35">
      <c r="A12" s="47" t="s">
        <v>46</v>
      </c>
      <c r="B12" s="48">
        <v>0.39583333333333331</v>
      </c>
      <c r="C12" s="47" t="s">
        <v>634</v>
      </c>
      <c r="D12" s="47" t="s">
        <v>901</v>
      </c>
      <c r="E12" s="87" t="str">
        <f>VLOOKUP(A12,'All players'!A$3:A$202,1,FALSE)</f>
        <v>Dickhoff, Mark</v>
      </c>
    </row>
    <row r="13" spans="1:5" ht="31.2" thickBot="1" x14ac:dyDescent="0.35">
      <c r="A13" s="49" t="s">
        <v>47</v>
      </c>
      <c r="B13" s="50">
        <v>0.39583333333333331</v>
      </c>
      <c r="C13" s="49" t="s">
        <v>634</v>
      </c>
      <c r="D13" s="49" t="s">
        <v>902</v>
      </c>
      <c r="E13" s="87" t="str">
        <f>VLOOKUP(A13,'All players'!A$3:A$202,1,FALSE)</f>
        <v>Dickhoff, Walt</v>
      </c>
    </row>
    <row r="14" spans="1:5" ht="31.2" thickBot="1" x14ac:dyDescent="0.35">
      <c r="A14" s="47" t="s">
        <v>51</v>
      </c>
      <c r="B14" s="48">
        <v>0.3611111111111111</v>
      </c>
      <c r="C14" s="47" t="s">
        <v>634</v>
      </c>
      <c r="D14" s="47" t="s">
        <v>903</v>
      </c>
      <c r="E14" s="87" t="str">
        <f>VLOOKUP(A14,'All players'!A$3:A$202,1,FALSE)</f>
        <v>Eseman, Connelly</v>
      </c>
    </row>
    <row r="15" spans="1:5" ht="31.2" thickBot="1" x14ac:dyDescent="0.35">
      <c r="A15" s="49" t="s">
        <v>52</v>
      </c>
      <c r="B15" s="50">
        <v>0.4236111111111111</v>
      </c>
      <c r="C15" s="49" t="s">
        <v>634</v>
      </c>
      <c r="D15" s="49" t="s">
        <v>904</v>
      </c>
      <c r="E15" s="87" t="str">
        <f>VLOOKUP(A15,'All players'!A$3:A$202,1,FALSE)</f>
        <v>Fabela, Dan</v>
      </c>
    </row>
    <row r="16" spans="1:5" ht="31.2" thickBot="1" x14ac:dyDescent="0.35">
      <c r="A16" s="47" t="s">
        <v>55</v>
      </c>
      <c r="B16" s="48">
        <v>0.41666666666666669</v>
      </c>
      <c r="C16" s="47" t="s">
        <v>634</v>
      </c>
      <c r="D16" s="47" t="s">
        <v>905</v>
      </c>
      <c r="E16" s="87" t="str">
        <f>VLOOKUP(A16,'All players'!A$3:A$202,1,FALSE)</f>
        <v>Fleming, Damon</v>
      </c>
    </row>
    <row r="17" spans="1:5" ht="31.2" thickBot="1" x14ac:dyDescent="0.35">
      <c r="A17" s="49" t="s">
        <v>57</v>
      </c>
      <c r="B17" s="50">
        <v>0.36805555555555558</v>
      </c>
      <c r="C17" s="49" t="s">
        <v>634</v>
      </c>
      <c r="D17" s="49" t="s">
        <v>541</v>
      </c>
      <c r="E17" s="87" t="str">
        <f>VLOOKUP(A17,'All players'!A$3:A$202,1,FALSE)</f>
        <v>Fox, Edwin</v>
      </c>
    </row>
    <row r="18" spans="1:5" ht="21" thickBot="1" x14ac:dyDescent="0.35">
      <c r="A18" s="47" t="s">
        <v>59</v>
      </c>
      <c r="B18" s="48">
        <v>0.375</v>
      </c>
      <c r="C18" s="47" t="s">
        <v>634</v>
      </c>
      <c r="D18" s="47" t="s">
        <v>906</v>
      </c>
      <c r="E18" s="87" t="str">
        <f>VLOOKUP(A18,'All players'!A$3:A$202,1,FALSE)</f>
        <v>Gabler, Jon</v>
      </c>
    </row>
    <row r="19" spans="1:5" ht="31.2" thickBot="1" x14ac:dyDescent="0.35">
      <c r="A19" s="49" t="s">
        <v>60</v>
      </c>
      <c r="B19" s="50">
        <v>0.41666666666666669</v>
      </c>
      <c r="C19" s="49" t="s">
        <v>634</v>
      </c>
      <c r="D19" s="49" t="s">
        <v>907</v>
      </c>
      <c r="E19" s="87" t="str">
        <f>VLOOKUP(A19,'All players'!A$3:A$202,1,FALSE)</f>
        <v>Gahan, Andrew</v>
      </c>
    </row>
    <row r="20" spans="1:5" ht="31.2" thickBot="1" x14ac:dyDescent="0.35">
      <c r="A20" s="47" t="s">
        <v>65</v>
      </c>
      <c r="B20" s="48">
        <v>0.38194444444444442</v>
      </c>
      <c r="C20" s="47" t="s">
        <v>634</v>
      </c>
      <c r="D20" s="47" t="s">
        <v>908</v>
      </c>
      <c r="E20" s="87" t="str">
        <f>VLOOKUP(A20,'All players'!A$3:A$202,1,FALSE)</f>
        <v>Gross, Robert</v>
      </c>
    </row>
    <row r="21" spans="1:5" ht="31.2" thickBot="1" x14ac:dyDescent="0.35">
      <c r="A21" s="49" t="s">
        <v>69</v>
      </c>
      <c r="B21" s="50">
        <v>0.38194444444444442</v>
      </c>
      <c r="C21" s="49" t="s">
        <v>634</v>
      </c>
      <c r="D21" s="49" t="s">
        <v>909</v>
      </c>
      <c r="E21" s="87" t="str">
        <f>VLOOKUP(A21,'All players'!A$3:A$202,1,FALSE)</f>
        <v>Hancock, Tyler</v>
      </c>
    </row>
    <row r="22" spans="1:5" ht="31.2" thickBot="1" x14ac:dyDescent="0.35">
      <c r="A22" s="47" t="s">
        <v>72</v>
      </c>
      <c r="B22" s="48">
        <v>0.36805555555555558</v>
      </c>
      <c r="C22" s="47" t="s">
        <v>634</v>
      </c>
      <c r="D22" s="47" t="s">
        <v>910</v>
      </c>
      <c r="E22" s="87" t="str">
        <f>VLOOKUP(A22,'All players'!A$3:A$202,1,FALSE)</f>
        <v>Harrell, Don</v>
      </c>
    </row>
    <row r="23" spans="1:5" ht="31.2" thickBot="1" x14ac:dyDescent="0.35">
      <c r="A23" s="49" t="s">
        <v>73</v>
      </c>
      <c r="B23" s="50">
        <v>0.41666666666666669</v>
      </c>
      <c r="C23" s="49" t="s">
        <v>634</v>
      </c>
      <c r="D23" s="49" t="s">
        <v>858</v>
      </c>
      <c r="E23" s="87" t="str">
        <f>VLOOKUP(A23,'All players'!A$3:A$202,1,FALSE)</f>
        <v>Hartley, Jack</v>
      </c>
    </row>
    <row r="24" spans="1:5" ht="31.2" thickBot="1" x14ac:dyDescent="0.35">
      <c r="A24" s="47" t="s">
        <v>78</v>
      </c>
      <c r="B24" s="48">
        <v>0.39583333333333331</v>
      </c>
      <c r="C24" s="47" t="s">
        <v>634</v>
      </c>
      <c r="D24" s="47" t="s">
        <v>658</v>
      </c>
      <c r="E24" s="87" t="str">
        <f>VLOOKUP(A24,'All players'!A$3:A$202,1,FALSE)</f>
        <v>Hom, Tom</v>
      </c>
    </row>
    <row r="25" spans="1:5" ht="41.4" thickBot="1" x14ac:dyDescent="0.35">
      <c r="A25" s="49" t="s">
        <v>84</v>
      </c>
      <c r="B25" s="50">
        <v>0.40277777777777773</v>
      </c>
      <c r="C25" s="49" t="s">
        <v>634</v>
      </c>
      <c r="D25" s="49" t="s">
        <v>911</v>
      </c>
      <c r="E25" s="87" t="str">
        <f>VLOOKUP(A25,'All players'!A$3:A$202,1,FALSE)</f>
        <v>Johnson, Eddie</v>
      </c>
    </row>
    <row r="26" spans="1:5" ht="31.2" thickBot="1" x14ac:dyDescent="0.35">
      <c r="A26" s="47" t="s">
        <v>85</v>
      </c>
      <c r="B26" s="48">
        <v>0.4375</v>
      </c>
      <c r="C26" s="47" t="s">
        <v>634</v>
      </c>
      <c r="D26" s="47" t="s">
        <v>912</v>
      </c>
      <c r="E26" s="87" t="str">
        <f>VLOOKUP(A26,'All players'!A$3:A$202,1,FALSE)</f>
        <v>Johnson, Reed</v>
      </c>
    </row>
    <row r="27" spans="1:5" ht="31.2" thickBot="1" x14ac:dyDescent="0.35">
      <c r="A27" s="49" t="s">
        <v>89</v>
      </c>
      <c r="B27" s="50">
        <v>0.44444444444444442</v>
      </c>
      <c r="C27" s="49" t="s">
        <v>634</v>
      </c>
      <c r="D27" s="49" t="s">
        <v>913</v>
      </c>
      <c r="E27" s="87" t="str">
        <f>VLOOKUP(A27,'All players'!A$3:A$202,1,FALSE)</f>
        <v>Jones, Lee</v>
      </c>
    </row>
    <row r="28" spans="1:5" ht="31.2" thickBot="1" x14ac:dyDescent="0.35">
      <c r="A28" s="47" t="s">
        <v>90</v>
      </c>
      <c r="B28" s="48">
        <v>0.44444444444444442</v>
      </c>
      <c r="C28" s="47" t="s">
        <v>634</v>
      </c>
      <c r="D28" s="47" t="s">
        <v>914</v>
      </c>
      <c r="E28" s="87" t="str">
        <f>VLOOKUP(A28,'All players'!A$3:A$202,1,FALSE)</f>
        <v>Jones, Travis</v>
      </c>
    </row>
    <row r="29" spans="1:5" ht="41.4" thickBot="1" x14ac:dyDescent="0.35">
      <c r="A29" s="49" t="s">
        <v>97</v>
      </c>
      <c r="B29" s="50">
        <v>0.40277777777777773</v>
      </c>
      <c r="C29" s="49" t="s">
        <v>634</v>
      </c>
      <c r="D29" s="49" t="s">
        <v>915</v>
      </c>
      <c r="E29" s="87" t="str">
        <f>VLOOKUP(A29,'All players'!A$3:A$202,1,FALSE)</f>
        <v>Kim, Stephen</v>
      </c>
    </row>
    <row r="30" spans="1:5" ht="31.2" thickBot="1" x14ac:dyDescent="0.35">
      <c r="A30" s="47" t="s">
        <v>99</v>
      </c>
      <c r="B30" s="48">
        <v>0.38194444444444442</v>
      </c>
      <c r="C30" s="47" t="s">
        <v>634</v>
      </c>
      <c r="D30" s="47" t="s">
        <v>916</v>
      </c>
      <c r="E30" s="87" t="str">
        <f>VLOOKUP(A30,'All players'!A$3:A$202,1,FALSE)</f>
        <v>Ko, Supin</v>
      </c>
    </row>
    <row r="31" spans="1:5" ht="31.2" thickBot="1" x14ac:dyDescent="0.35">
      <c r="A31" s="49" t="s">
        <v>104</v>
      </c>
      <c r="B31" s="50">
        <v>0.36805555555555558</v>
      </c>
      <c r="C31" s="49" t="s">
        <v>634</v>
      </c>
      <c r="D31" s="49" t="s">
        <v>917</v>
      </c>
      <c r="E31" s="87" t="str">
        <f>VLOOKUP(A31,'All players'!A$3:A$202,1,FALSE)</f>
        <v>Leboa, Carl</v>
      </c>
    </row>
    <row r="32" spans="1:5" ht="31.2" thickBot="1" x14ac:dyDescent="0.35">
      <c r="A32" s="47" t="s">
        <v>114</v>
      </c>
      <c r="B32" s="48">
        <v>0.38194444444444442</v>
      </c>
      <c r="C32" s="47" t="s">
        <v>634</v>
      </c>
      <c r="D32" s="47" t="s">
        <v>918</v>
      </c>
      <c r="E32" s="87" t="str">
        <f>VLOOKUP(A32,'All players'!A$3:A$202,1,FALSE)</f>
        <v>MacFarlane, Kevin</v>
      </c>
    </row>
    <row r="33" spans="1:5" ht="31.2" thickBot="1" x14ac:dyDescent="0.35">
      <c r="A33" s="49" t="s">
        <v>119</v>
      </c>
      <c r="B33" s="50">
        <v>0.4375</v>
      </c>
      <c r="C33" s="49" t="s">
        <v>634</v>
      </c>
      <c r="D33" s="49" t="s">
        <v>536</v>
      </c>
      <c r="E33" s="87" t="str">
        <f>VLOOKUP(A33,'All players'!A$3:A$202,1,FALSE)</f>
        <v>Mardesich, Mike</v>
      </c>
    </row>
    <row r="34" spans="1:5" ht="31.2" thickBot="1" x14ac:dyDescent="0.35">
      <c r="A34" s="47" t="s">
        <v>235</v>
      </c>
      <c r="B34" s="48">
        <v>0.40972222222222227</v>
      </c>
      <c r="C34" s="47" t="s">
        <v>634</v>
      </c>
      <c r="D34" s="47" t="s">
        <v>919</v>
      </c>
      <c r="E34" s="87" t="str">
        <f>VLOOKUP(A34,'All players'!A$3:A$202,1,FALSE)</f>
        <v>Markwardt, Robert</v>
      </c>
    </row>
    <row r="35" spans="1:5" ht="31.2" thickBot="1" x14ac:dyDescent="0.35">
      <c r="A35" s="49" t="s">
        <v>127</v>
      </c>
      <c r="B35" s="50">
        <v>0.3611111111111111</v>
      </c>
      <c r="C35" s="49" t="s">
        <v>634</v>
      </c>
      <c r="D35" s="49" t="s">
        <v>920</v>
      </c>
      <c r="E35" s="87" t="str">
        <f>VLOOKUP(A35,'All players'!A$3:A$202,1,FALSE)</f>
        <v>McShane, Daniel</v>
      </c>
    </row>
    <row r="36" spans="1:5" ht="31.2" thickBot="1" x14ac:dyDescent="0.35">
      <c r="A36" s="47" t="s">
        <v>130</v>
      </c>
      <c r="B36" s="48">
        <v>0.4375</v>
      </c>
      <c r="C36" s="47" t="s">
        <v>634</v>
      </c>
      <c r="D36" s="47" t="s">
        <v>921</v>
      </c>
      <c r="E36" s="87" t="str">
        <f>VLOOKUP(A36,'All players'!A$3:A$202,1,FALSE)</f>
        <v>Mueller, Dennis</v>
      </c>
    </row>
    <row r="37" spans="1:5" ht="31.2" thickBot="1" x14ac:dyDescent="0.35">
      <c r="A37" s="49" t="s">
        <v>134</v>
      </c>
      <c r="B37" s="50">
        <v>0.3888888888888889</v>
      </c>
      <c r="C37" s="49" t="s">
        <v>634</v>
      </c>
      <c r="D37" s="49" t="s">
        <v>922</v>
      </c>
      <c r="E37" s="87" t="str">
        <f>VLOOKUP(A37,'All players'!A$3:A$202,1,FALSE)</f>
        <v>Niemeyer, Christopher</v>
      </c>
    </row>
    <row r="38" spans="1:5" ht="41.4" thickBot="1" x14ac:dyDescent="0.35">
      <c r="A38" s="47" t="s">
        <v>136</v>
      </c>
      <c r="B38" s="48">
        <v>0.40972222222222227</v>
      </c>
      <c r="C38" s="47" t="s">
        <v>634</v>
      </c>
      <c r="D38" s="47" t="s">
        <v>923</v>
      </c>
      <c r="E38" s="87" t="str">
        <f>VLOOKUP(A38,'All players'!A$3:A$202,1,FALSE)</f>
        <v>Nugent, Douglas</v>
      </c>
    </row>
    <row r="39" spans="1:5" ht="31.2" thickBot="1" x14ac:dyDescent="0.35">
      <c r="A39" s="49" t="s">
        <v>138</v>
      </c>
      <c r="B39" s="50">
        <v>0.44444444444444442</v>
      </c>
      <c r="C39" s="49" t="s">
        <v>634</v>
      </c>
      <c r="D39" s="49" t="s">
        <v>924</v>
      </c>
      <c r="E39" s="87" t="str">
        <f>VLOOKUP(A39,'All players'!A$3:A$202,1,FALSE)</f>
        <v>O'Brien, Dave</v>
      </c>
    </row>
    <row r="40" spans="1:5" ht="41.4" thickBot="1" x14ac:dyDescent="0.35">
      <c r="A40" s="47" t="s">
        <v>141</v>
      </c>
      <c r="B40" s="48">
        <v>0.40972222222222227</v>
      </c>
      <c r="C40" s="47" t="s">
        <v>634</v>
      </c>
      <c r="D40" s="47" t="s">
        <v>925</v>
      </c>
      <c r="E40" s="87" t="str">
        <f>VLOOKUP(A40,'All players'!A$3:A$202,1,FALSE)</f>
        <v>Ohrenschall, Mark</v>
      </c>
    </row>
    <row r="41" spans="1:5" ht="21" thickBot="1" x14ac:dyDescent="0.35">
      <c r="A41" s="49" t="s">
        <v>142</v>
      </c>
      <c r="B41" s="50">
        <v>0.43055555555555558</v>
      </c>
      <c r="C41" s="49" t="s">
        <v>634</v>
      </c>
      <c r="D41" s="49" t="s">
        <v>661</v>
      </c>
      <c r="E41" s="87" t="str">
        <f>VLOOKUP(A41,'All players'!A$3:A$202,1,FALSE)</f>
        <v>Olin, Randy</v>
      </c>
    </row>
    <row r="42" spans="1:5" ht="31.2" thickBot="1" x14ac:dyDescent="0.35">
      <c r="A42" s="47" t="s">
        <v>143</v>
      </c>
      <c r="B42" s="48">
        <v>0.39583333333333331</v>
      </c>
      <c r="C42" s="47" t="s">
        <v>634</v>
      </c>
      <c r="D42" s="47" t="s">
        <v>784</v>
      </c>
      <c r="E42" s="87" t="str">
        <f>VLOOKUP(A42,'All players'!A$3:A$202,1,FALSE)</f>
        <v>Osuga, Yasuhisa</v>
      </c>
    </row>
    <row r="43" spans="1:5" ht="31.2" thickBot="1" x14ac:dyDescent="0.35">
      <c r="A43" s="49" t="s">
        <v>149</v>
      </c>
      <c r="B43" s="50">
        <v>0.41666666666666669</v>
      </c>
      <c r="C43" s="49" t="s">
        <v>634</v>
      </c>
      <c r="D43" s="49" t="s">
        <v>926</v>
      </c>
      <c r="E43" s="87" t="str">
        <f>VLOOKUP(A43,'All players'!A$3:A$202,1,FALSE)</f>
        <v>Petersen, Nicolai</v>
      </c>
    </row>
    <row r="44" spans="1:5" ht="41.4" thickBot="1" x14ac:dyDescent="0.35">
      <c r="A44" s="47" t="s">
        <v>168</v>
      </c>
      <c r="B44" s="48">
        <v>0.3888888888888889</v>
      </c>
      <c r="C44" s="47" t="s">
        <v>634</v>
      </c>
      <c r="D44" s="47" t="s">
        <v>736</v>
      </c>
      <c r="E44" s="87" t="str">
        <f>VLOOKUP(A44,'All players'!A$3:A$202,1,FALSE)</f>
        <v>Rockey, Cory</v>
      </c>
    </row>
    <row r="45" spans="1:5" ht="31.2" thickBot="1" x14ac:dyDescent="0.35">
      <c r="A45" s="49" t="s">
        <v>172</v>
      </c>
      <c r="B45" s="50">
        <v>0.4236111111111111</v>
      </c>
      <c r="C45" s="49" t="s">
        <v>634</v>
      </c>
      <c r="D45" s="49" t="s">
        <v>927</v>
      </c>
      <c r="E45" s="87" t="str">
        <f>VLOOKUP(A45,'All players'!A$3:A$202,1,FALSE)</f>
        <v>Rowe, Tim</v>
      </c>
    </row>
    <row r="46" spans="1:5" ht="31.2" thickBot="1" x14ac:dyDescent="0.35">
      <c r="A46" s="47" t="s">
        <v>178</v>
      </c>
      <c r="B46" s="48">
        <v>0.4375</v>
      </c>
      <c r="C46" s="47" t="s">
        <v>634</v>
      </c>
      <c r="D46" s="47" t="s">
        <v>928</v>
      </c>
      <c r="E46" s="87" t="str">
        <f>VLOOKUP(A46,'All players'!A$3:A$202,1,FALSE)</f>
        <v>Schoening, Jeffrey</v>
      </c>
    </row>
    <row r="47" spans="1:5" ht="31.2" thickBot="1" x14ac:dyDescent="0.35">
      <c r="A47" s="49" t="s">
        <v>185</v>
      </c>
      <c r="B47" s="50">
        <v>0.44444444444444442</v>
      </c>
      <c r="C47" s="49" t="s">
        <v>634</v>
      </c>
      <c r="D47" s="49" t="s">
        <v>929</v>
      </c>
      <c r="E47" s="87" t="str">
        <f>VLOOKUP(A47,'All players'!A$3:A$202,1,FALSE)</f>
        <v>Sifferman, Greg</v>
      </c>
    </row>
    <row r="48" spans="1:5" ht="41.4" thickBot="1" x14ac:dyDescent="0.35">
      <c r="A48" s="47" t="s">
        <v>190</v>
      </c>
      <c r="B48" s="48">
        <v>0.3611111111111111</v>
      </c>
      <c r="C48" s="47" t="s">
        <v>634</v>
      </c>
      <c r="D48" s="47" t="s">
        <v>930</v>
      </c>
      <c r="E48" s="87" t="str">
        <f>VLOOKUP(A48,'All players'!A$3:A$202,1,FALSE)</f>
        <v>Smith, Ken</v>
      </c>
    </row>
    <row r="49" spans="1:5" ht="31.2" thickBot="1" x14ac:dyDescent="0.35">
      <c r="A49" s="49" t="s">
        <v>197</v>
      </c>
      <c r="B49" s="50">
        <v>0.3611111111111111</v>
      </c>
      <c r="C49" s="49" t="s">
        <v>634</v>
      </c>
      <c r="D49" s="49" t="s">
        <v>869</v>
      </c>
      <c r="E49" s="87" t="str">
        <f>VLOOKUP(A49,'All players'!A$3:A$202,1,FALSE)</f>
        <v>Thorson, Thomas</v>
      </c>
    </row>
    <row r="50" spans="1:5" ht="21" thickBot="1" x14ac:dyDescent="0.35">
      <c r="A50" s="47" t="s">
        <v>205</v>
      </c>
      <c r="B50" s="48">
        <v>0.43055555555555558</v>
      </c>
      <c r="C50" s="47" t="s">
        <v>634</v>
      </c>
      <c r="D50" s="47" t="s">
        <v>931</v>
      </c>
      <c r="E50" s="87" t="str">
        <f>VLOOKUP(A50,'All players'!A$3:A$202,1,FALSE)</f>
        <v>Wattula, Mel</v>
      </c>
    </row>
    <row r="51" spans="1:5" ht="41.4" thickBot="1" x14ac:dyDescent="0.35">
      <c r="A51" s="51" t="s">
        <v>211</v>
      </c>
      <c r="B51" s="52">
        <v>0.3888888888888889</v>
      </c>
      <c r="C51" s="51" t="s">
        <v>634</v>
      </c>
      <c r="D51" s="51" t="s">
        <v>932</v>
      </c>
      <c r="E51" s="87" t="str">
        <f>VLOOKUP(A51,'All players'!A$3:A$202,1,FALSE)</f>
        <v>Wilson, Patrick</v>
      </c>
    </row>
  </sheetData>
  <autoFilter ref="A1:E51" xr:uid="{914F3D40-00BD-4960-B29D-42947ED14EFD}"/>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0BA5A-E73A-4475-A539-EA38E6D40D7A}">
  <dimension ref="A1:F5"/>
  <sheetViews>
    <sheetView workbookViewId="0">
      <selection activeCell="B2" sqref="B2"/>
    </sheetView>
    <sheetView workbookViewId="1"/>
    <sheetView workbookViewId="2"/>
  </sheetViews>
  <sheetFormatPr defaultRowHeight="14.4" x14ac:dyDescent="0.3"/>
  <cols>
    <col min="1" max="1" width="18.6640625" bestFit="1" customWidth="1"/>
    <col min="2" max="2" width="18.44140625" bestFit="1" customWidth="1"/>
  </cols>
  <sheetData>
    <row r="1" spans="1:6" x14ac:dyDescent="0.3">
      <c r="A1" s="6" t="s">
        <v>220</v>
      </c>
      <c r="B1" s="6" t="s">
        <v>823</v>
      </c>
      <c r="C1" s="6" t="s">
        <v>219</v>
      </c>
      <c r="D1" s="6" t="s">
        <v>221</v>
      </c>
      <c r="F1" s="6" t="s">
        <v>473</v>
      </c>
    </row>
    <row r="2" spans="1:6" x14ac:dyDescent="0.3">
      <c r="A2" s="5">
        <v>0.1875</v>
      </c>
      <c r="B2" s="5">
        <v>0.16666666666666666</v>
      </c>
      <c r="C2" s="8">
        <v>0</v>
      </c>
      <c r="D2" s="7">
        <v>0</v>
      </c>
      <c r="F2" s="5">
        <v>6.9444444444444441E-3</v>
      </c>
    </row>
    <row r="3" spans="1:6" x14ac:dyDescent="0.3">
      <c r="C3" s="5">
        <v>1.1111111111111112E-2</v>
      </c>
      <c r="D3" s="2">
        <v>1</v>
      </c>
    </row>
    <row r="4" spans="1:6" x14ac:dyDescent="0.3">
      <c r="C4" s="5">
        <v>1.5277777777777777E-2</v>
      </c>
      <c r="D4" s="2">
        <v>2</v>
      </c>
    </row>
    <row r="5" spans="1:6" x14ac:dyDescent="0.3">
      <c r="C5" s="5">
        <v>2.1527777777777781E-2</v>
      </c>
      <c r="D5" s="2" t="s">
        <v>222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EB1-B34A-45EC-A74B-29B23C837027}">
  <dimension ref="A1:J2"/>
  <sheetViews>
    <sheetView workbookViewId="0"/>
    <sheetView workbookViewId="1"/>
    <sheetView workbookViewId="2"/>
  </sheetViews>
  <sheetFormatPr defaultRowHeight="14.4" x14ac:dyDescent="0.3"/>
  <cols>
    <col min="9" max="9" width="10.44140625" customWidth="1"/>
  </cols>
  <sheetData>
    <row r="1" spans="1:10" ht="72" x14ac:dyDescent="0.3">
      <c r="A1" s="20" t="s">
        <v>459</v>
      </c>
      <c r="B1" s="20" t="s">
        <v>461</v>
      </c>
      <c r="C1" s="20" t="s">
        <v>460</v>
      </c>
      <c r="D1" s="20" t="s">
        <v>462</v>
      </c>
      <c r="E1" s="20" t="s">
        <v>464</v>
      </c>
      <c r="F1" s="20" t="s">
        <v>463</v>
      </c>
      <c r="G1" s="20" t="s">
        <v>465</v>
      </c>
      <c r="H1" s="21" t="s">
        <v>468</v>
      </c>
      <c r="I1" s="20" t="s">
        <v>467</v>
      </c>
      <c r="J1" s="15" t="s">
        <v>484</v>
      </c>
    </row>
    <row r="2" spans="1:10" x14ac:dyDescent="0.3">
      <c r="A2">
        <f>CORREL('All players'!C3:C111,'All players'!AW3:AW111)</f>
        <v>-6.0899311977477215E-2</v>
      </c>
      <c r="B2">
        <f>CORREL('All players'!D3:D111,'All players'!H3:H111)</f>
        <v>-0.29654096969402138</v>
      </c>
      <c r="C2">
        <f>CORREL('All players'!G3:G111,'All players'!H3:H111)</f>
        <v>0.36570947844995783</v>
      </c>
      <c r="D2">
        <f>CORREL('All players'!J3:J111,'All players'!N3:N111)</f>
        <v>-0.12441926415017825</v>
      </c>
      <c r="E2">
        <f>CORREL('All players'!M3:M111,'All players'!N3:N111)</f>
        <v>0.34826622795285012</v>
      </c>
      <c r="F2">
        <f>CORREL('All players'!P3:P111,'All players'!T3:T111)</f>
        <v>-0.28372657121312522</v>
      </c>
      <c r="G2">
        <f>CORREL('All players'!S3:S111,'All players'!T3:T111)</f>
        <v>0.14656345141515623</v>
      </c>
      <c r="H2" s="22">
        <f>CORREL('All players'!AU3:AU232,'All players'!AW3:AW232)</f>
        <v>-0.14365862130199031</v>
      </c>
      <c r="I2">
        <f>CORREL('All players'!AV3:AV232,'All players'!AW3:AW232)</f>
        <v>0.24283218041358035</v>
      </c>
      <c r="J2">
        <f>CORREL('All players'!AU3:AU232,'All players'!AV3:AV232)</f>
        <v>0.10933157730531438</v>
      </c>
    </row>
  </sheetData>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4BC09-4949-4FDD-A577-B41DEB5A0C98}">
  <dimension ref="A1:F20"/>
  <sheetViews>
    <sheetView workbookViewId="0">
      <selection sqref="A1:B1"/>
    </sheetView>
    <sheetView workbookViewId="1">
      <selection sqref="A1:B1"/>
    </sheetView>
    <sheetView workbookViewId="2">
      <selection sqref="A1:B1"/>
    </sheetView>
  </sheetViews>
  <sheetFormatPr defaultRowHeight="14.4" x14ac:dyDescent="0.3"/>
  <cols>
    <col min="3" max="3" width="9.77734375" bestFit="1" customWidth="1"/>
  </cols>
  <sheetData>
    <row r="1" spans="1:6" x14ac:dyDescent="0.3">
      <c r="A1" s="100" t="s">
        <v>500</v>
      </c>
      <c r="B1" s="100"/>
      <c r="C1" s="41">
        <v>44373</v>
      </c>
      <c r="D1" s="41"/>
    </row>
    <row r="2" spans="1:6" x14ac:dyDescent="0.3">
      <c r="A2" s="36" t="s">
        <v>501</v>
      </c>
      <c r="B2" s="36" t="s">
        <v>502</v>
      </c>
      <c r="C2" s="36" t="s">
        <v>503</v>
      </c>
      <c r="D2" s="36" t="s">
        <v>504</v>
      </c>
      <c r="E2" s="36" t="s">
        <v>505</v>
      </c>
      <c r="F2" s="37" t="s">
        <v>506</v>
      </c>
    </row>
    <row r="3" spans="1:6" x14ac:dyDescent="0.3">
      <c r="A3" s="38">
        <v>0.33333333333333331</v>
      </c>
      <c r="B3" s="38">
        <v>0.33194444444444443</v>
      </c>
      <c r="C3" s="38">
        <v>0.52638888888888891</v>
      </c>
      <c r="D3" s="39">
        <f>C3-B3</f>
        <v>0.19444444444444448</v>
      </c>
      <c r="E3" s="36" t="s">
        <v>507</v>
      </c>
      <c r="F3" s="37">
        <f>COUNT(A4:A$21)*4</f>
        <v>68</v>
      </c>
    </row>
    <row r="4" spans="1:6" x14ac:dyDescent="0.3">
      <c r="A4" s="38">
        <v>0.33958333333333335</v>
      </c>
      <c r="B4" s="38">
        <v>0.33819444444444446</v>
      </c>
      <c r="C4" s="38">
        <v>0.53749999999999998</v>
      </c>
      <c r="D4" s="39">
        <f t="shared" ref="D4:D20" si="0">C4-B4</f>
        <v>0.19930555555555551</v>
      </c>
      <c r="E4" s="39">
        <f>C4-C3</f>
        <v>1.1111111111111072E-2</v>
      </c>
      <c r="F4" s="37">
        <f>COUNT(A5:A$21)*4</f>
        <v>64</v>
      </c>
    </row>
    <row r="5" spans="1:6" x14ac:dyDescent="0.3">
      <c r="A5" s="38">
        <v>0.34583333333333338</v>
      </c>
      <c r="B5" s="38">
        <v>0.34513888888888888</v>
      </c>
      <c r="C5" s="38">
        <v>0.54513888888888895</v>
      </c>
      <c r="D5" s="39">
        <f t="shared" si="0"/>
        <v>0.20000000000000007</v>
      </c>
      <c r="E5" s="38">
        <f>C5-C4</f>
        <v>7.6388888888889728E-3</v>
      </c>
      <c r="F5" s="37">
        <f>COUNT(A6:A$21)*4</f>
        <v>60</v>
      </c>
    </row>
    <row r="6" spans="1:6" x14ac:dyDescent="0.3">
      <c r="A6" s="38">
        <v>0.3520833333333333</v>
      </c>
      <c r="B6" s="38">
        <v>0.35138888888888892</v>
      </c>
      <c r="C6" s="38">
        <v>0.55486111111111114</v>
      </c>
      <c r="D6" s="39">
        <f t="shared" si="0"/>
        <v>0.20347222222222222</v>
      </c>
      <c r="E6" s="38">
        <f t="shared" ref="E6:E20" si="1">C6-C5</f>
        <v>9.7222222222221877E-3</v>
      </c>
      <c r="F6" s="37">
        <f>COUNT(A7:A$21)*4</f>
        <v>56</v>
      </c>
    </row>
    <row r="7" spans="1:6" x14ac:dyDescent="0.3">
      <c r="A7" s="38">
        <v>0.35833333333333334</v>
      </c>
      <c r="B7" s="38">
        <v>0.35902777777777778</v>
      </c>
      <c r="C7" s="38">
        <v>0.55833333333333335</v>
      </c>
      <c r="D7" s="39">
        <f t="shared" si="0"/>
        <v>0.19930555555555557</v>
      </c>
      <c r="E7" s="38">
        <f t="shared" si="1"/>
        <v>3.4722222222222099E-3</v>
      </c>
      <c r="F7" s="37">
        <f>COUNT(A8:A$21)*4</f>
        <v>52</v>
      </c>
    </row>
    <row r="8" spans="1:6" x14ac:dyDescent="0.3">
      <c r="A8" s="38">
        <v>0.36458333333333331</v>
      </c>
      <c r="B8" s="38">
        <v>0.36527777777777781</v>
      </c>
      <c r="C8" s="38">
        <v>0.5625</v>
      </c>
      <c r="D8" s="39">
        <f t="shared" si="0"/>
        <v>0.19722222222222219</v>
      </c>
      <c r="E8" s="38">
        <f t="shared" si="1"/>
        <v>4.1666666666666519E-3</v>
      </c>
      <c r="F8" s="37">
        <f>COUNT(A9:A$21)*4</f>
        <v>48</v>
      </c>
    </row>
    <row r="9" spans="1:6" x14ac:dyDescent="0.3">
      <c r="A9" s="38">
        <v>0.37083333333333335</v>
      </c>
      <c r="B9" s="38">
        <v>0.37152777777777773</v>
      </c>
      <c r="C9" s="38">
        <v>0.57152777777777775</v>
      </c>
      <c r="D9" s="39">
        <f t="shared" si="0"/>
        <v>0.2</v>
      </c>
      <c r="E9" s="38">
        <f t="shared" si="1"/>
        <v>9.0277777777777457E-3</v>
      </c>
      <c r="F9" s="37">
        <f>COUNT(A10:A$21)*4</f>
        <v>44</v>
      </c>
    </row>
    <row r="10" spans="1:6" x14ac:dyDescent="0.3">
      <c r="A10" s="38">
        <v>0.37708333333333338</v>
      </c>
      <c r="B10" s="38">
        <v>0.38055555555555554</v>
      </c>
      <c r="C10" s="38">
        <v>0.57916666666666672</v>
      </c>
      <c r="D10" s="39">
        <f t="shared" si="0"/>
        <v>0.19861111111111118</v>
      </c>
      <c r="E10" s="38">
        <f t="shared" si="1"/>
        <v>7.6388888888889728E-3</v>
      </c>
      <c r="F10" s="37">
        <f>COUNT(A11:A$21)*4</f>
        <v>40</v>
      </c>
    </row>
    <row r="11" spans="1:6" x14ac:dyDescent="0.3">
      <c r="A11" s="38">
        <v>0.3833333333333333</v>
      </c>
      <c r="B11" s="38">
        <v>0.3888888888888889</v>
      </c>
      <c r="C11" s="38">
        <v>0.58750000000000002</v>
      </c>
      <c r="D11" s="39">
        <f t="shared" si="0"/>
        <v>0.19861111111111113</v>
      </c>
      <c r="E11" s="38">
        <f t="shared" si="1"/>
        <v>8.3333333333333037E-3</v>
      </c>
      <c r="F11" s="37">
        <f>COUNT(A12:A$21)*4</f>
        <v>36</v>
      </c>
    </row>
    <row r="12" spans="1:6" x14ac:dyDescent="0.3">
      <c r="A12" s="38">
        <v>0.38958333333333334</v>
      </c>
      <c r="B12" s="38">
        <v>0.39513888888888887</v>
      </c>
      <c r="C12" s="38">
        <v>0.59861111111111109</v>
      </c>
      <c r="D12" s="39">
        <f t="shared" si="0"/>
        <v>0.20347222222222222</v>
      </c>
      <c r="E12" s="39">
        <f>C12-C11</f>
        <v>1.1111111111111072E-2</v>
      </c>
      <c r="F12" s="37">
        <f>COUNT(A13:A$21)*4</f>
        <v>32</v>
      </c>
    </row>
    <row r="13" spans="1:6" x14ac:dyDescent="0.3">
      <c r="A13" s="38">
        <v>0.39583333333333331</v>
      </c>
      <c r="B13" s="38">
        <v>0.40138888888888885</v>
      </c>
      <c r="C13" s="38">
        <v>0.6069444444444444</v>
      </c>
      <c r="D13" s="39">
        <f t="shared" si="0"/>
        <v>0.20555555555555555</v>
      </c>
      <c r="E13" s="38">
        <f t="shared" si="1"/>
        <v>8.3333333333333037E-3</v>
      </c>
      <c r="F13" s="37">
        <f>COUNT(A14:A$21)*4</f>
        <v>28</v>
      </c>
    </row>
    <row r="14" spans="1:6" x14ac:dyDescent="0.3">
      <c r="A14" s="38">
        <v>0.40208333333333335</v>
      </c>
      <c r="B14" s="38">
        <v>0.40833333333333338</v>
      </c>
      <c r="C14" s="38">
        <v>0.61388888888888882</v>
      </c>
      <c r="D14" s="39">
        <f t="shared" si="0"/>
        <v>0.20555555555555544</v>
      </c>
      <c r="E14" s="38">
        <f t="shared" si="1"/>
        <v>6.9444444444444198E-3</v>
      </c>
      <c r="F14" s="37">
        <f>COUNT(A15:A$21)*4</f>
        <v>24</v>
      </c>
    </row>
    <row r="15" spans="1:6" x14ac:dyDescent="0.3">
      <c r="A15" s="38">
        <v>0.40833333333333338</v>
      </c>
      <c r="B15" s="38">
        <v>0.41319444444444442</v>
      </c>
      <c r="C15" s="38">
        <v>0.61875000000000002</v>
      </c>
      <c r="D15" s="39">
        <f t="shared" si="0"/>
        <v>0.2055555555555556</v>
      </c>
      <c r="E15" s="38">
        <f t="shared" si="1"/>
        <v>4.8611111111112049E-3</v>
      </c>
      <c r="F15" s="37">
        <f>COUNT(A16:A$21)*4</f>
        <v>20</v>
      </c>
    </row>
    <row r="16" spans="1:6" x14ac:dyDescent="0.3">
      <c r="A16" s="38">
        <v>0.4145833333333333</v>
      </c>
      <c r="B16" s="38">
        <v>0.4236111111111111</v>
      </c>
      <c r="C16" s="38">
        <v>0.62222222222222223</v>
      </c>
      <c r="D16" s="39">
        <f t="shared" si="0"/>
        <v>0.19861111111111113</v>
      </c>
      <c r="E16" s="38">
        <f t="shared" si="1"/>
        <v>3.4722222222222099E-3</v>
      </c>
      <c r="F16" s="37">
        <f>COUNT(A17:A$21)*4</f>
        <v>16</v>
      </c>
    </row>
    <row r="17" spans="1:6" x14ac:dyDescent="0.3">
      <c r="A17" s="38">
        <v>0.42083333333333334</v>
      </c>
      <c r="B17" s="38">
        <v>0.4284722222222222</v>
      </c>
      <c r="C17" s="38">
        <v>0.62847222222222221</v>
      </c>
      <c r="D17" s="39">
        <f t="shared" si="0"/>
        <v>0.2</v>
      </c>
      <c r="E17" s="38">
        <f t="shared" si="1"/>
        <v>6.2499999999999778E-3</v>
      </c>
      <c r="F17" s="37">
        <f>COUNT(A18:A$21)*4</f>
        <v>12</v>
      </c>
    </row>
    <row r="18" spans="1:6" x14ac:dyDescent="0.3">
      <c r="A18" s="38">
        <v>0.42708333333333331</v>
      </c>
      <c r="B18" s="38">
        <v>0.43611111111111112</v>
      </c>
      <c r="C18" s="38">
        <v>0.63194444444444442</v>
      </c>
      <c r="D18" s="39">
        <f t="shared" si="0"/>
        <v>0.1958333333333333</v>
      </c>
      <c r="E18" s="38">
        <f t="shared" si="1"/>
        <v>3.4722222222222099E-3</v>
      </c>
      <c r="F18" s="37">
        <f>COUNT(A19:A$21)*4</f>
        <v>8</v>
      </c>
    </row>
    <row r="19" spans="1:6" x14ac:dyDescent="0.3">
      <c r="A19" s="38">
        <v>0.43333333333333335</v>
      </c>
      <c r="B19" s="38">
        <v>0.44305555555555554</v>
      </c>
      <c r="C19" s="38">
        <v>0.63958333333333328</v>
      </c>
      <c r="D19" s="39">
        <f t="shared" si="0"/>
        <v>0.19652777777777775</v>
      </c>
      <c r="E19" s="38">
        <f t="shared" si="1"/>
        <v>7.6388888888888618E-3</v>
      </c>
      <c r="F19" s="37">
        <f>COUNT(A20:A$21)*4</f>
        <v>4</v>
      </c>
    </row>
    <row r="20" spans="1:6" x14ac:dyDescent="0.3">
      <c r="A20" s="38">
        <v>0.43958333333333338</v>
      </c>
      <c r="B20" s="38">
        <v>0.44861111111111113</v>
      </c>
      <c r="C20" s="38">
        <v>0.6479166666666667</v>
      </c>
      <c r="D20" s="39">
        <f t="shared" si="0"/>
        <v>0.19930555555555557</v>
      </c>
      <c r="E20" s="38">
        <f t="shared" si="1"/>
        <v>8.3333333333334147E-3</v>
      </c>
      <c r="F20" s="37">
        <f>COUNT(A21:A$21)*4</f>
        <v>0</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8BCF6-E7C6-48A3-89FB-95ED49F64B37}">
  <dimension ref="A1:D64"/>
  <sheetViews>
    <sheetView workbookViewId="0"/>
    <sheetView workbookViewId="1"/>
    <sheetView workbookViewId="2"/>
  </sheetViews>
  <sheetFormatPr defaultRowHeight="14.4" x14ac:dyDescent="0.3"/>
  <cols>
    <col min="1" max="1" width="15.21875" bestFit="1" customWidth="1"/>
    <col min="4" max="4" width="39.88671875" bestFit="1" customWidth="1"/>
  </cols>
  <sheetData>
    <row r="1" spans="1:4" ht="15" thickBot="1" x14ac:dyDescent="0.35">
      <c r="A1" s="46" t="s">
        <v>508</v>
      </c>
      <c r="B1" s="46" t="s">
        <v>509</v>
      </c>
      <c r="C1" s="46" t="s">
        <v>510</v>
      </c>
      <c r="D1" s="46" t="s">
        <v>511</v>
      </c>
    </row>
    <row r="2" spans="1:4" ht="15" customHeight="1" thickBot="1" x14ac:dyDescent="0.35">
      <c r="A2" s="47" t="s">
        <v>4</v>
      </c>
      <c r="B2" s="48">
        <v>0.33958333333333335</v>
      </c>
      <c r="C2" s="47" t="s">
        <v>512</v>
      </c>
      <c r="D2" s="47" t="s">
        <v>513</v>
      </c>
    </row>
    <row r="3" spans="1:4" ht="15" customHeight="1" thickBot="1" x14ac:dyDescent="0.35">
      <c r="A3" s="49" t="s">
        <v>5</v>
      </c>
      <c r="B3" s="50">
        <v>0.3833333333333333</v>
      </c>
      <c r="C3" s="49" t="s">
        <v>512</v>
      </c>
      <c r="D3" s="49" t="s">
        <v>514</v>
      </c>
    </row>
    <row r="4" spans="1:4" ht="15" customHeight="1" thickBot="1" x14ac:dyDescent="0.35">
      <c r="A4" s="47" t="s">
        <v>6</v>
      </c>
      <c r="B4" s="48">
        <v>0.39583333333333331</v>
      </c>
      <c r="C4" s="47" t="s">
        <v>512</v>
      </c>
      <c r="D4" s="47" t="s">
        <v>515</v>
      </c>
    </row>
    <row r="5" spans="1:4" ht="15" customHeight="1" thickBot="1" x14ac:dyDescent="0.35">
      <c r="A5" s="49" t="s">
        <v>12</v>
      </c>
      <c r="B5" s="50">
        <v>0.33333333333333331</v>
      </c>
      <c r="C5" s="49" t="s">
        <v>516</v>
      </c>
      <c r="D5" s="49" t="s">
        <v>517</v>
      </c>
    </row>
    <row r="6" spans="1:4" ht="15" customHeight="1" thickBot="1" x14ac:dyDescent="0.35">
      <c r="A6" s="47" t="s">
        <v>13</v>
      </c>
      <c r="B6" s="48">
        <v>0.3520833333333333</v>
      </c>
      <c r="C6" s="47" t="s">
        <v>512</v>
      </c>
      <c r="D6" s="47" t="s">
        <v>518</v>
      </c>
    </row>
    <row r="7" spans="1:4" ht="15" customHeight="1" thickBot="1" x14ac:dyDescent="0.35">
      <c r="A7" s="49" t="s">
        <v>27</v>
      </c>
      <c r="B7" s="50">
        <v>0.34583333333333338</v>
      </c>
      <c r="C7" s="49" t="s">
        <v>512</v>
      </c>
      <c r="D7" s="49" t="s">
        <v>519</v>
      </c>
    </row>
    <row r="8" spans="1:4" ht="15" customHeight="1" thickBot="1" x14ac:dyDescent="0.35">
      <c r="A8" s="47" t="s">
        <v>30</v>
      </c>
      <c r="B8" s="48">
        <v>0.35833333333333334</v>
      </c>
      <c r="C8" s="47" t="s">
        <v>516</v>
      </c>
      <c r="D8" s="47" t="s">
        <v>520</v>
      </c>
    </row>
    <row r="9" spans="1:4" ht="15" customHeight="1" thickBot="1" x14ac:dyDescent="0.35">
      <c r="A9" s="49" t="s">
        <v>34</v>
      </c>
      <c r="B9" s="50">
        <v>0.39583333333333331</v>
      </c>
      <c r="C9" s="49" t="s">
        <v>512</v>
      </c>
      <c r="D9" s="49" t="s">
        <v>521</v>
      </c>
    </row>
    <row r="10" spans="1:4" ht="15" customHeight="1" thickBot="1" x14ac:dyDescent="0.35">
      <c r="A10" s="49" t="s">
        <v>40</v>
      </c>
      <c r="B10" s="50">
        <v>0.36458333333333331</v>
      </c>
      <c r="C10" s="49" t="s">
        <v>512</v>
      </c>
      <c r="D10" s="49" t="s">
        <v>522</v>
      </c>
    </row>
    <row r="11" spans="1:4" ht="15" customHeight="1" thickBot="1" x14ac:dyDescent="0.35">
      <c r="A11" s="47" t="s">
        <v>47</v>
      </c>
      <c r="B11" s="48">
        <v>0.42708333333333331</v>
      </c>
      <c r="C11" s="47" t="s">
        <v>516</v>
      </c>
      <c r="D11" s="47" t="s">
        <v>523</v>
      </c>
    </row>
    <row r="12" spans="1:4" ht="15" customHeight="1" thickBot="1" x14ac:dyDescent="0.35">
      <c r="A12" s="47" t="s">
        <v>49</v>
      </c>
      <c r="B12" s="48">
        <v>0.34583333333333338</v>
      </c>
      <c r="C12" s="47" t="s">
        <v>512</v>
      </c>
      <c r="D12" s="47" t="s">
        <v>524</v>
      </c>
    </row>
    <row r="13" spans="1:4" ht="15" customHeight="1" thickBot="1" x14ac:dyDescent="0.35">
      <c r="A13" s="49" t="s">
        <v>50</v>
      </c>
      <c r="B13" s="50">
        <v>0.43333333333333335</v>
      </c>
      <c r="C13" s="49" t="s">
        <v>516</v>
      </c>
      <c r="D13" s="49" t="s">
        <v>525</v>
      </c>
    </row>
    <row r="14" spans="1:4" ht="15" customHeight="1" thickBot="1" x14ac:dyDescent="0.35">
      <c r="A14" s="47" t="s">
        <v>51</v>
      </c>
      <c r="B14" s="48">
        <v>0.37708333333333338</v>
      </c>
      <c r="C14" s="47" t="s">
        <v>512</v>
      </c>
      <c r="D14" s="47" t="s">
        <v>526</v>
      </c>
    </row>
    <row r="15" spans="1:4" ht="15" customHeight="1" thickBot="1" x14ac:dyDescent="0.35">
      <c r="A15" s="49" t="s">
        <v>56</v>
      </c>
      <c r="B15" s="50">
        <v>0.38958333333333334</v>
      </c>
      <c r="C15" s="49" t="s">
        <v>512</v>
      </c>
      <c r="D15" s="49" t="s">
        <v>527</v>
      </c>
    </row>
    <row r="16" spans="1:4" ht="15" customHeight="1" thickBot="1" x14ac:dyDescent="0.35">
      <c r="A16" s="47" t="s">
        <v>57</v>
      </c>
      <c r="B16" s="48">
        <v>0.3520833333333333</v>
      </c>
      <c r="C16" s="47" t="s">
        <v>512</v>
      </c>
      <c r="D16" s="47" t="s">
        <v>528</v>
      </c>
    </row>
    <row r="17" spans="1:4" ht="15" customHeight="1" thickBot="1" x14ac:dyDescent="0.35">
      <c r="A17" s="49" t="s">
        <v>61</v>
      </c>
      <c r="B17" s="50">
        <v>0.34583333333333338</v>
      </c>
      <c r="C17" s="49" t="s">
        <v>512</v>
      </c>
      <c r="D17" s="49" t="s">
        <v>529</v>
      </c>
    </row>
    <row r="18" spans="1:4" ht="15" customHeight="1" thickBot="1" x14ac:dyDescent="0.35">
      <c r="A18" s="47" t="s">
        <v>67</v>
      </c>
      <c r="B18" s="48">
        <v>0.37083333333333335</v>
      </c>
      <c r="C18" s="47" t="s">
        <v>512</v>
      </c>
      <c r="D18" s="47" t="s">
        <v>530</v>
      </c>
    </row>
    <row r="19" spans="1:4" ht="15" customHeight="1" thickBot="1" x14ac:dyDescent="0.35">
      <c r="A19" s="49" t="s">
        <v>71</v>
      </c>
      <c r="B19" s="50">
        <v>0.37083333333333335</v>
      </c>
      <c r="C19" s="49" t="s">
        <v>512</v>
      </c>
      <c r="D19" s="49" t="s">
        <v>531</v>
      </c>
    </row>
    <row r="20" spans="1:4" ht="15" customHeight="1" thickBot="1" x14ac:dyDescent="0.35">
      <c r="A20" s="47" t="s">
        <v>72</v>
      </c>
      <c r="B20" s="48">
        <v>0.33333333333333331</v>
      </c>
      <c r="C20" s="47" t="s">
        <v>512</v>
      </c>
      <c r="D20" s="47" t="s">
        <v>532</v>
      </c>
    </row>
    <row r="21" spans="1:4" ht="15" customHeight="1" thickBot="1" x14ac:dyDescent="0.35">
      <c r="A21" s="49" t="s">
        <v>73</v>
      </c>
      <c r="B21" s="50">
        <v>0.33958333333333335</v>
      </c>
      <c r="C21" s="49" t="s">
        <v>512</v>
      </c>
      <c r="D21" s="49" t="s">
        <v>533</v>
      </c>
    </row>
    <row r="22" spans="1:4" ht="15" customHeight="1" thickBot="1" x14ac:dyDescent="0.35">
      <c r="A22" s="47" t="s">
        <v>75</v>
      </c>
      <c r="B22" s="48">
        <v>0.43333333333333335</v>
      </c>
      <c r="C22" s="47" t="s">
        <v>512</v>
      </c>
      <c r="D22" s="47" t="s">
        <v>534</v>
      </c>
    </row>
    <row r="23" spans="1:4" ht="15" customHeight="1" thickBot="1" x14ac:dyDescent="0.35">
      <c r="A23" s="49" t="s">
        <v>78</v>
      </c>
      <c r="B23" s="50">
        <v>0.36458333333333331</v>
      </c>
      <c r="C23" s="49" t="s">
        <v>516</v>
      </c>
      <c r="D23" s="49" t="s">
        <v>535</v>
      </c>
    </row>
    <row r="24" spans="1:4" ht="15" customHeight="1" thickBot="1" x14ac:dyDescent="0.35">
      <c r="A24" s="47" t="s">
        <v>79</v>
      </c>
      <c r="B24" s="48">
        <v>0.40833333333333338</v>
      </c>
      <c r="C24" s="47" t="s">
        <v>512</v>
      </c>
      <c r="D24" s="47" t="s">
        <v>536</v>
      </c>
    </row>
    <row r="25" spans="1:4" ht="15" customHeight="1" thickBot="1" x14ac:dyDescent="0.35">
      <c r="A25" s="49" t="s">
        <v>85</v>
      </c>
      <c r="B25" s="50">
        <v>0.40833333333333338</v>
      </c>
      <c r="C25" s="49" t="s">
        <v>516</v>
      </c>
      <c r="D25" s="49" t="s">
        <v>537</v>
      </c>
    </row>
    <row r="26" spans="1:4" ht="15" customHeight="1" thickBot="1" x14ac:dyDescent="0.35">
      <c r="A26" s="47" t="s">
        <v>88</v>
      </c>
      <c r="B26" s="48">
        <v>0.36458333333333331</v>
      </c>
      <c r="C26" s="47" t="s">
        <v>516</v>
      </c>
      <c r="D26" s="47" t="s">
        <v>538</v>
      </c>
    </row>
    <row r="27" spans="1:4" ht="15" customHeight="1" thickBot="1" x14ac:dyDescent="0.35">
      <c r="A27" s="49" t="s">
        <v>96</v>
      </c>
      <c r="B27" s="50">
        <v>0.42708333333333331</v>
      </c>
      <c r="C27" s="49" t="s">
        <v>512</v>
      </c>
      <c r="D27" s="49" t="s">
        <v>539</v>
      </c>
    </row>
    <row r="28" spans="1:4" ht="15" customHeight="1" thickBot="1" x14ac:dyDescent="0.35">
      <c r="A28" s="47" t="s">
        <v>97</v>
      </c>
      <c r="B28" s="48">
        <v>0.3833333333333333</v>
      </c>
      <c r="C28" s="47" t="s">
        <v>512</v>
      </c>
      <c r="D28" s="47" t="s">
        <v>540</v>
      </c>
    </row>
    <row r="29" spans="1:4" ht="15" customHeight="1" thickBot="1" x14ac:dyDescent="0.35">
      <c r="A29" s="49" t="s">
        <v>99</v>
      </c>
      <c r="B29" s="50">
        <v>0.33333333333333331</v>
      </c>
      <c r="C29" s="49" t="s">
        <v>512</v>
      </c>
      <c r="D29" s="49" t="s">
        <v>541</v>
      </c>
    </row>
    <row r="30" spans="1:4" ht="15" customHeight="1" thickBot="1" x14ac:dyDescent="0.35">
      <c r="A30" s="47" t="s">
        <v>102</v>
      </c>
      <c r="B30" s="48">
        <v>0.34583333333333338</v>
      </c>
      <c r="C30" s="47" t="s">
        <v>512</v>
      </c>
      <c r="D30" s="47" t="s">
        <v>542</v>
      </c>
    </row>
    <row r="31" spans="1:4" ht="15" customHeight="1" thickBot="1" x14ac:dyDescent="0.35">
      <c r="A31" s="49" t="s">
        <v>104</v>
      </c>
      <c r="B31" s="50">
        <v>0.33333333333333331</v>
      </c>
      <c r="C31" s="49" t="s">
        <v>512</v>
      </c>
      <c r="D31" s="49" t="s">
        <v>543</v>
      </c>
    </row>
    <row r="32" spans="1:4" ht="15" customHeight="1" thickBot="1" x14ac:dyDescent="0.35">
      <c r="A32" s="47" t="s">
        <v>105</v>
      </c>
      <c r="B32" s="48">
        <v>0.40208333333333335</v>
      </c>
      <c r="C32" s="47" t="s">
        <v>512</v>
      </c>
      <c r="D32" s="47" t="s">
        <v>544</v>
      </c>
    </row>
    <row r="33" spans="1:4" ht="15" customHeight="1" thickBot="1" x14ac:dyDescent="0.35">
      <c r="A33" s="47" t="s">
        <v>119</v>
      </c>
      <c r="B33" s="48">
        <v>0.39583333333333331</v>
      </c>
      <c r="C33" s="47" t="s">
        <v>516</v>
      </c>
      <c r="D33" s="47" t="s">
        <v>545</v>
      </c>
    </row>
    <row r="34" spans="1:4" ht="15" customHeight="1" thickBot="1" x14ac:dyDescent="0.35">
      <c r="A34" s="49" t="s">
        <v>235</v>
      </c>
      <c r="B34" s="50">
        <v>0.39583333333333331</v>
      </c>
      <c r="C34" s="49" t="s">
        <v>512</v>
      </c>
      <c r="D34" s="49" t="s">
        <v>546</v>
      </c>
    </row>
    <row r="35" spans="1:4" ht="15" customHeight="1" thickBot="1" x14ac:dyDescent="0.35">
      <c r="A35" s="49" t="s">
        <v>133</v>
      </c>
      <c r="B35" s="50">
        <v>0.43958333333333338</v>
      </c>
      <c r="C35" s="49" t="s">
        <v>516</v>
      </c>
      <c r="D35" s="49" t="s">
        <v>547</v>
      </c>
    </row>
    <row r="36" spans="1:4" ht="15" customHeight="1" thickBot="1" x14ac:dyDescent="0.35">
      <c r="A36" s="47" t="s">
        <v>134</v>
      </c>
      <c r="B36" s="48">
        <v>0.35833333333333334</v>
      </c>
      <c r="C36" s="47" t="s">
        <v>512</v>
      </c>
      <c r="D36" s="47" t="s">
        <v>548</v>
      </c>
    </row>
    <row r="37" spans="1:4" ht="15" customHeight="1" thickBot="1" x14ac:dyDescent="0.35">
      <c r="A37" s="49" t="s">
        <v>136</v>
      </c>
      <c r="B37" s="50">
        <v>0.38958333333333334</v>
      </c>
      <c r="C37" s="49" t="s">
        <v>512</v>
      </c>
      <c r="D37" s="49" t="s">
        <v>549</v>
      </c>
    </row>
    <row r="38" spans="1:4" ht="15" customHeight="1" thickBot="1" x14ac:dyDescent="0.35">
      <c r="A38" s="47" t="s">
        <v>138</v>
      </c>
      <c r="B38" s="48">
        <v>0.33958333333333335</v>
      </c>
      <c r="C38" s="47" t="s">
        <v>512</v>
      </c>
      <c r="D38" s="47" t="s">
        <v>550</v>
      </c>
    </row>
    <row r="39" spans="1:4" ht="15" customHeight="1" thickBot="1" x14ac:dyDescent="0.35">
      <c r="A39" s="49" t="s">
        <v>141</v>
      </c>
      <c r="B39" s="50">
        <v>0.38958333333333334</v>
      </c>
      <c r="C39" s="49" t="s">
        <v>512</v>
      </c>
      <c r="D39" s="49" t="s">
        <v>551</v>
      </c>
    </row>
    <row r="40" spans="1:4" ht="15" customHeight="1" thickBot="1" x14ac:dyDescent="0.35">
      <c r="A40" s="47" t="s">
        <v>143</v>
      </c>
      <c r="B40" s="48">
        <v>0.35833333333333334</v>
      </c>
      <c r="C40" s="47" t="s">
        <v>516</v>
      </c>
      <c r="D40" s="47" t="s">
        <v>552</v>
      </c>
    </row>
    <row r="41" spans="1:4" ht="15" customHeight="1" thickBot="1" x14ac:dyDescent="0.35">
      <c r="A41" s="49" t="s">
        <v>148</v>
      </c>
      <c r="B41" s="50">
        <v>0.42708333333333331</v>
      </c>
      <c r="C41" s="49" t="s">
        <v>512</v>
      </c>
      <c r="D41" s="49" t="s">
        <v>553</v>
      </c>
    </row>
    <row r="42" spans="1:4" ht="15" customHeight="1" thickBot="1" x14ac:dyDescent="0.35">
      <c r="A42" s="47" t="s">
        <v>151</v>
      </c>
      <c r="B42" s="48">
        <v>0.43333333333333335</v>
      </c>
      <c r="C42" s="47" t="s">
        <v>512</v>
      </c>
      <c r="D42" s="47" t="s">
        <v>554</v>
      </c>
    </row>
    <row r="43" spans="1:4" ht="15" customHeight="1" thickBot="1" x14ac:dyDescent="0.35">
      <c r="A43" s="49" t="s">
        <v>152</v>
      </c>
      <c r="B43" s="50">
        <v>0.42708333333333331</v>
      </c>
      <c r="C43" s="49" t="s">
        <v>512</v>
      </c>
      <c r="D43" s="49" t="s">
        <v>555</v>
      </c>
    </row>
    <row r="44" spans="1:4" ht="15" customHeight="1" thickBot="1" x14ac:dyDescent="0.35">
      <c r="A44" s="47" t="s">
        <v>154</v>
      </c>
      <c r="B44" s="48">
        <v>0.43333333333333335</v>
      </c>
      <c r="C44" s="47" t="s">
        <v>512</v>
      </c>
      <c r="D44" s="47" t="s">
        <v>556</v>
      </c>
    </row>
    <row r="45" spans="1:4" ht="15" customHeight="1" thickBot="1" x14ac:dyDescent="0.35">
      <c r="A45" s="49" t="s">
        <v>163</v>
      </c>
      <c r="B45" s="50">
        <v>0.4145833333333333</v>
      </c>
      <c r="C45" s="49" t="s">
        <v>516</v>
      </c>
      <c r="D45" s="49" t="s">
        <v>557</v>
      </c>
    </row>
    <row r="46" spans="1:4" ht="15" customHeight="1" thickBot="1" x14ac:dyDescent="0.35">
      <c r="A46" s="47" t="s">
        <v>164</v>
      </c>
      <c r="B46" s="48">
        <v>0.4145833333333333</v>
      </c>
      <c r="C46" s="47" t="s">
        <v>512</v>
      </c>
      <c r="D46" s="47" t="s">
        <v>558</v>
      </c>
    </row>
    <row r="47" spans="1:4" ht="15" customHeight="1" thickBot="1" x14ac:dyDescent="0.35">
      <c r="A47" s="49" t="s">
        <v>165</v>
      </c>
      <c r="B47" s="50">
        <v>0.4145833333333333</v>
      </c>
      <c r="C47" s="49" t="s">
        <v>512</v>
      </c>
      <c r="D47" s="49" t="s">
        <v>559</v>
      </c>
    </row>
    <row r="48" spans="1:4" ht="15" customHeight="1" thickBot="1" x14ac:dyDescent="0.35">
      <c r="A48" s="47" t="s">
        <v>168</v>
      </c>
      <c r="B48" s="48">
        <v>0.35833333333333334</v>
      </c>
      <c r="C48" s="47" t="s">
        <v>512</v>
      </c>
      <c r="D48" s="47" t="s">
        <v>560</v>
      </c>
    </row>
    <row r="49" spans="1:4" ht="15" customHeight="1" thickBot="1" x14ac:dyDescent="0.35">
      <c r="A49" s="49" t="s">
        <v>169</v>
      </c>
      <c r="B49" s="50">
        <v>0.3520833333333333</v>
      </c>
      <c r="C49" s="49" t="s">
        <v>512</v>
      </c>
      <c r="D49" s="49" t="s">
        <v>561</v>
      </c>
    </row>
    <row r="50" spans="1:4" ht="15" customHeight="1" thickBot="1" x14ac:dyDescent="0.35">
      <c r="A50" s="47" t="s">
        <v>174</v>
      </c>
      <c r="B50" s="48">
        <v>0.33958333333333335</v>
      </c>
      <c r="C50" s="47" t="s">
        <v>512</v>
      </c>
      <c r="D50" s="47" t="s">
        <v>562</v>
      </c>
    </row>
    <row r="51" spans="1:4" ht="15" customHeight="1" thickBot="1" x14ac:dyDescent="0.35">
      <c r="A51" s="49" t="s">
        <v>178</v>
      </c>
      <c r="B51" s="50">
        <v>0.40833333333333338</v>
      </c>
      <c r="C51" s="49" t="s">
        <v>512</v>
      </c>
      <c r="D51" s="49" t="s">
        <v>563</v>
      </c>
    </row>
    <row r="52" spans="1:4" ht="15" customHeight="1" thickBot="1" x14ac:dyDescent="0.35">
      <c r="A52" s="47" t="s">
        <v>179</v>
      </c>
      <c r="B52" s="48">
        <v>0.43958333333333338</v>
      </c>
      <c r="C52" s="47" t="s">
        <v>512</v>
      </c>
      <c r="D52" s="47" t="s">
        <v>564</v>
      </c>
    </row>
    <row r="53" spans="1:4" ht="15" customHeight="1" thickBot="1" x14ac:dyDescent="0.35">
      <c r="A53" s="49" t="s">
        <v>183</v>
      </c>
      <c r="B53" s="50">
        <v>0.37708333333333338</v>
      </c>
      <c r="C53" s="49" t="s">
        <v>512</v>
      </c>
      <c r="D53" s="49" t="s">
        <v>565</v>
      </c>
    </row>
    <row r="54" spans="1:4" ht="15" customHeight="1" thickBot="1" x14ac:dyDescent="0.35">
      <c r="A54" s="47" t="s">
        <v>185</v>
      </c>
      <c r="B54" s="48">
        <v>0.42083333333333334</v>
      </c>
      <c r="C54" s="47" t="s">
        <v>512</v>
      </c>
      <c r="D54" s="47" t="s">
        <v>566</v>
      </c>
    </row>
    <row r="55" spans="1:4" ht="15" customHeight="1" thickBot="1" x14ac:dyDescent="0.35">
      <c r="A55" s="49" t="s">
        <v>186</v>
      </c>
      <c r="B55" s="50">
        <v>0.42083333333333334</v>
      </c>
      <c r="C55" s="49" t="s">
        <v>512</v>
      </c>
      <c r="D55" s="49" t="s">
        <v>567</v>
      </c>
    </row>
    <row r="56" spans="1:4" ht="15" customHeight="1" thickBot="1" x14ac:dyDescent="0.35">
      <c r="A56" s="47" t="s">
        <v>187</v>
      </c>
      <c r="B56" s="48">
        <v>0.42083333333333334</v>
      </c>
      <c r="C56" s="47" t="s">
        <v>512</v>
      </c>
      <c r="D56" s="47" t="s">
        <v>568</v>
      </c>
    </row>
    <row r="57" spans="1:4" ht="15" customHeight="1" thickBot="1" x14ac:dyDescent="0.35">
      <c r="A57" s="49" t="s">
        <v>188</v>
      </c>
      <c r="B57" s="50">
        <v>0.42083333333333334</v>
      </c>
      <c r="C57" s="49" t="s">
        <v>512</v>
      </c>
      <c r="D57" s="49" t="s">
        <v>569</v>
      </c>
    </row>
    <row r="58" spans="1:4" ht="15" customHeight="1" thickBot="1" x14ac:dyDescent="0.35">
      <c r="A58" s="47" t="s">
        <v>190</v>
      </c>
      <c r="B58" s="48">
        <v>0.37708333333333338</v>
      </c>
      <c r="C58" s="47" t="s">
        <v>512</v>
      </c>
      <c r="D58" s="47" t="s">
        <v>570</v>
      </c>
    </row>
    <row r="59" spans="1:4" ht="15" customHeight="1" thickBot="1" x14ac:dyDescent="0.35">
      <c r="A59" s="49" t="s">
        <v>197</v>
      </c>
      <c r="B59" s="50">
        <v>0.3833333333333333</v>
      </c>
      <c r="C59" s="49" t="s">
        <v>512</v>
      </c>
      <c r="D59" s="49" t="s">
        <v>571</v>
      </c>
    </row>
    <row r="60" spans="1:4" ht="15" customHeight="1" thickBot="1" x14ac:dyDescent="0.35">
      <c r="A60" s="47" t="s">
        <v>201</v>
      </c>
      <c r="B60" s="48">
        <v>0.40208333333333335</v>
      </c>
      <c r="C60" s="47" t="s">
        <v>512</v>
      </c>
      <c r="D60" s="47" t="s">
        <v>572</v>
      </c>
    </row>
    <row r="61" spans="1:4" ht="15" customHeight="1" thickBot="1" x14ac:dyDescent="0.35">
      <c r="A61" s="49" t="s">
        <v>202</v>
      </c>
      <c r="B61" s="50">
        <v>0.37708333333333338</v>
      </c>
      <c r="C61" s="49" t="s">
        <v>512</v>
      </c>
      <c r="D61" s="49" t="s">
        <v>573</v>
      </c>
    </row>
    <row r="62" spans="1:4" ht="15" customHeight="1" thickBot="1" x14ac:dyDescent="0.35">
      <c r="A62" s="47" t="s">
        <v>205</v>
      </c>
      <c r="B62" s="48">
        <v>0.36458333333333331</v>
      </c>
      <c r="C62" s="47" t="s">
        <v>516</v>
      </c>
      <c r="D62" s="47" t="s">
        <v>574</v>
      </c>
    </row>
    <row r="63" spans="1:4" ht="15" customHeight="1" thickBot="1" x14ac:dyDescent="0.35">
      <c r="A63" s="49" t="s">
        <v>210</v>
      </c>
      <c r="B63" s="50">
        <v>0.37083333333333335</v>
      </c>
      <c r="C63" s="49" t="s">
        <v>512</v>
      </c>
      <c r="D63" s="49" t="s">
        <v>575</v>
      </c>
    </row>
    <row r="64" spans="1:4" ht="15" customHeight="1" thickBot="1" x14ac:dyDescent="0.35">
      <c r="A64" s="47" t="s">
        <v>211</v>
      </c>
      <c r="B64" s="48">
        <v>0.3520833333333333</v>
      </c>
      <c r="C64" s="47" t="s">
        <v>512</v>
      </c>
      <c r="D64" s="47" t="s">
        <v>576</v>
      </c>
    </row>
  </sheetData>
  <pageMargins left="0.7" right="0.7" top="0.75" bottom="0.75" header="0.3" footer="0.3"/>
  <pageSetup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9AF9D-2DEE-4D26-A15E-F9CE47E40A53}">
  <dimension ref="A1:F16"/>
  <sheetViews>
    <sheetView workbookViewId="0">
      <selection sqref="A1:C1"/>
    </sheetView>
    <sheetView workbookViewId="1">
      <selection sqref="A1:C1"/>
    </sheetView>
    <sheetView workbookViewId="2">
      <selection sqref="A1:C1"/>
    </sheetView>
  </sheetViews>
  <sheetFormatPr defaultRowHeight="14.4" x14ac:dyDescent="0.3"/>
  <cols>
    <col min="2" max="2" width="9.109375" customWidth="1"/>
    <col min="3" max="3" width="9.5546875" bestFit="1" customWidth="1"/>
    <col min="4" max="4" width="9.77734375" bestFit="1" customWidth="1"/>
  </cols>
  <sheetData>
    <row r="1" spans="1:6" x14ac:dyDescent="0.3">
      <c r="A1" s="101" t="s">
        <v>577</v>
      </c>
      <c r="B1" s="101"/>
      <c r="C1" s="101"/>
      <c r="D1" s="40">
        <v>44374</v>
      </c>
    </row>
    <row r="2" spans="1:6" x14ac:dyDescent="0.3">
      <c r="A2" s="36" t="s">
        <v>501</v>
      </c>
      <c r="B2" s="36" t="s">
        <v>502</v>
      </c>
      <c r="C2" s="36" t="s">
        <v>503</v>
      </c>
      <c r="D2" s="36" t="s">
        <v>504</v>
      </c>
      <c r="E2" s="36" t="s">
        <v>505</v>
      </c>
      <c r="F2" s="37" t="s">
        <v>506</v>
      </c>
    </row>
    <row r="3" spans="1:6" x14ac:dyDescent="0.3">
      <c r="A3" s="38">
        <v>0.33333333333333331</v>
      </c>
      <c r="B3" s="38">
        <v>0.33194444444444443</v>
      </c>
      <c r="C3" s="38">
        <v>0.5</v>
      </c>
      <c r="D3" s="38">
        <v>0.16805555555555554</v>
      </c>
      <c r="E3" s="36" t="s">
        <v>507</v>
      </c>
      <c r="F3" s="37">
        <f>COUNT(A4:A$21)*4</f>
        <v>52</v>
      </c>
    </row>
    <row r="4" spans="1:6" x14ac:dyDescent="0.3">
      <c r="A4" s="38">
        <v>0.33958333333333335</v>
      </c>
      <c r="B4" s="38">
        <v>0.33819444444444446</v>
      </c>
      <c r="C4" s="38">
        <v>0.50694444444444442</v>
      </c>
      <c r="D4" s="38">
        <v>0.16874999999999998</v>
      </c>
      <c r="E4" s="38">
        <v>6.9444444444444441E-3</v>
      </c>
      <c r="F4" s="37">
        <f>COUNT(A5:A$21)*4</f>
        <v>48</v>
      </c>
    </row>
    <row r="5" spans="1:6" x14ac:dyDescent="0.3">
      <c r="A5" s="38">
        <v>0.34583333333333338</v>
      </c>
      <c r="B5" s="38">
        <v>0.34375</v>
      </c>
      <c r="C5" s="38">
        <v>0.53125</v>
      </c>
      <c r="D5" s="38">
        <v>0.1875</v>
      </c>
      <c r="E5" s="39">
        <v>2.4305555555555556E-2</v>
      </c>
      <c r="F5" s="37">
        <f>COUNT(A6:A$21)*4</f>
        <v>44</v>
      </c>
    </row>
    <row r="6" spans="1:6" x14ac:dyDescent="0.3">
      <c r="A6" s="38">
        <v>0.3520833333333333</v>
      </c>
      <c r="B6" s="38">
        <v>0.35138888888888892</v>
      </c>
      <c r="C6" s="38">
        <v>0.5395833333333333</v>
      </c>
      <c r="D6" s="39">
        <v>0.18819444444444444</v>
      </c>
      <c r="E6" s="38">
        <v>8.3333333333333332E-3</v>
      </c>
      <c r="F6" s="37">
        <f>COUNT(A7:A$21)*4</f>
        <v>40</v>
      </c>
    </row>
    <row r="7" spans="1:6" x14ac:dyDescent="0.3">
      <c r="A7" s="38">
        <v>0.35833333333333334</v>
      </c>
      <c r="B7" s="38">
        <v>0.35902777777777778</v>
      </c>
      <c r="C7" s="38">
        <v>0.5444444444444444</v>
      </c>
      <c r="D7" s="38">
        <v>0.18541666666666667</v>
      </c>
      <c r="E7" s="38">
        <v>4.8611111111111112E-3</v>
      </c>
      <c r="F7" s="37">
        <f>COUNT(A8:A$21)*4</f>
        <v>36</v>
      </c>
    </row>
    <row r="8" spans="1:6" x14ac:dyDescent="0.3">
      <c r="A8" s="38">
        <v>0.36458333333333331</v>
      </c>
      <c r="B8" s="38">
        <v>0.3666666666666667</v>
      </c>
      <c r="C8" s="38">
        <v>0.55694444444444446</v>
      </c>
      <c r="D8" s="39">
        <v>0.19027777777777777</v>
      </c>
      <c r="E8" s="39">
        <v>1.2499999999999999E-2</v>
      </c>
      <c r="F8" s="37">
        <f>COUNT(A9:A$21)*4</f>
        <v>32</v>
      </c>
    </row>
    <row r="9" spans="1:6" x14ac:dyDescent="0.3">
      <c r="A9" s="38">
        <v>0.37083333333333335</v>
      </c>
      <c r="B9" s="38">
        <v>0.375</v>
      </c>
      <c r="C9" s="38">
        <v>0.56319444444444444</v>
      </c>
      <c r="D9" s="39">
        <v>0.18819444444444444</v>
      </c>
      <c r="E9" s="38">
        <v>6.2499999999999995E-3</v>
      </c>
      <c r="F9" s="37">
        <f>COUNT(A10:A$21)*4</f>
        <v>28</v>
      </c>
    </row>
    <row r="10" spans="1:6" x14ac:dyDescent="0.3">
      <c r="A10" s="38">
        <v>0.37708333333333338</v>
      </c>
      <c r="B10" s="38">
        <v>0.38194444444444442</v>
      </c>
      <c r="C10" s="38">
        <v>0.57013888888888886</v>
      </c>
      <c r="D10" s="39">
        <v>0.18819444444444444</v>
      </c>
      <c r="E10" s="38">
        <v>6.9444444444444441E-3</v>
      </c>
      <c r="F10" s="37">
        <f>COUNT(A11:A$21)*4</f>
        <v>24</v>
      </c>
    </row>
    <row r="11" spans="1:6" x14ac:dyDescent="0.3">
      <c r="A11" s="38">
        <v>0.3833333333333333</v>
      </c>
      <c r="B11" s="38">
        <v>0.38750000000000001</v>
      </c>
      <c r="C11" s="38">
        <v>0.57638888888888895</v>
      </c>
      <c r="D11" s="39">
        <v>0.18888888888888888</v>
      </c>
      <c r="E11" s="38">
        <v>6.2499999999999995E-3</v>
      </c>
      <c r="F11" s="37">
        <f>COUNT(A12:A$21)*4</f>
        <v>20</v>
      </c>
    </row>
    <row r="12" spans="1:6" x14ac:dyDescent="0.3">
      <c r="A12" s="38">
        <v>0.38958333333333334</v>
      </c>
      <c r="B12" s="38">
        <v>0.39444444444444443</v>
      </c>
      <c r="C12" s="38">
        <v>0.5805555555555556</v>
      </c>
      <c r="D12" s="38">
        <v>0.18611111111111112</v>
      </c>
      <c r="E12" s="38">
        <v>4.1666666666666666E-3</v>
      </c>
      <c r="F12" s="37">
        <f>COUNT(A13:A$21)*4</f>
        <v>16</v>
      </c>
    </row>
    <row r="13" spans="1:6" x14ac:dyDescent="0.3">
      <c r="A13" s="38">
        <v>0.39583333333333331</v>
      </c>
      <c r="B13" s="38">
        <v>0.40069444444444446</v>
      </c>
      <c r="C13" s="38">
        <v>0.5854166666666667</v>
      </c>
      <c r="D13" s="38">
        <v>0.18472222222222223</v>
      </c>
      <c r="E13" s="38">
        <v>4.8611111111111112E-3</v>
      </c>
      <c r="F13" s="37">
        <f>COUNT(A14:A$21)*4</f>
        <v>12</v>
      </c>
    </row>
    <row r="14" spans="1:6" x14ac:dyDescent="0.3">
      <c r="A14" s="38">
        <v>0.40208333333333335</v>
      </c>
      <c r="B14" s="38">
        <v>0.40763888888888888</v>
      </c>
      <c r="C14" s="38">
        <v>0.59722222222222221</v>
      </c>
      <c r="D14" s="39">
        <v>0.18958333333333333</v>
      </c>
      <c r="E14" s="39">
        <v>1.1805555555555555E-2</v>
      </c>
      <c r="F14" s="37">
        <f>COUNT(A15:A$21)*4</f>
        <v>8</v>
      </c>
    </row>
    <row r="15" spans="1:6" x14ac:dyDescent="0.3">
      <c r="A15" s="38">
        <v>0.40833333333333338</v>
      </c>
      <c r="B15" s="38">
        <v>0.41388888888888892</v>
      </c>
      <c r="C15" s="38">
        <v>0.60625000000000007</v>
      </c>
      <c r="D15" s="39">
        <v>0.19236111111111112</v>
      </c>
      <c r="E15" s="38">
        <v>9.0277777777777787E-3</v>
      </c>
      <c r="F15" s="37">
        <f>COUNT(A16:A$21)*4</f>
        <v>4</v>
      </c>
    </row>
    <row r="16" spans="1:6" x14ac:dyDescent="0.3">
      <c r="A16" s="38">
        <v>0.4145833333333333</v>
      </c>
      <c r="B16" s="38">
        <v>0.42152777777777778</v>
      </c>
      <c r="C16" s="38">
        <v>0.62222222222222223</v>
      </c>
      <c r="D16" s="39">
        <v>0.20069444444444443</v>
      </c>
      <c r="E16" s="39">
        <v>1.5972222222222224E-2</v>
      </c>
      <c r="F16" s="37">
        <f>COUNT(A17:A$21)*4</f>
        <v>0</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A6F4D-8B18-4B4D-A415-623C86E102F1}">
  <dimension ref="A1:D56"/>
  <sheetViews>
    <sheetView topLeftCell="A34" workbookViewId="0">
      <selection activeCell="D36" sqref="D36"/>
    </sheetView>
    <sheetView workbookViewId="1"/>
    <sheetView workbookViewId="2"/>
  </sheetViews>
  <sheetFormatPr defaultRowHeight="14.4" x14ac:dyDescent="0.3"/>
  <sheetData>
    <row r="1" spans="1:4" ht="15" thickBot="1" x14ac:dyDescent="0.35">
      <c r="A1" s="46" t="s">
        <v>508</v>
      </c>
      <c r="B1" s="46" t="s">
        <v>509</v>
      </c>
      <c r="C1" s="46" t="s">
        <v>510</v>
      </c>
      <c r="D1" s="46" t="s">
        <v>511</v>
      </c>
    </row>
    <row r="2" spans="1:4" ht="31.2" thickBot="1" x14ac:dyDescent="0.35">
      <c r="A2" s="47" t="s">
        <v>4</v>
      </c>
      <c r="B2" s="48">
        <v>0.40833333333333338</v>
      </c>
      <c r="C2" s="47" t="s">
        <v>512</v>
      </c>
      <c r="D2" s="47" t="s">
        <v>578</v>
      </c>
    </row>
    <row r="3" spans="1:4" ht="41.4" thickBot="1" x14ac:dyDescent="0.35">
      <c r="A3" s="49" t="s">
        <v>5</v>
      </c>
      <c r="B3" s="50">
        <v>0.38958333333333334</v>
      </c>
      <c r="C3" s="49" t="s">
        <v>512</v>
      </c>
      <c r="D3" s="49" t="s">
        <v>579</v>
      </c>
    </row>
    <row r="4" spans="1:4" ht="61.8" thickBot="1" x14ac:dyDescent="0.35">
      <c r="A4" s="47" t="s">
        <v>6</v>
      </c>
      <c r="B4" s="48">
        <v>0.37708333333333338</v>
      </c>
      <c r="C4" s="47" t="s">
        <v>512</v>
      </c>
      <c r="D4" s="47" t="s">
        <v>580</v>
      </c>
    </row>
    <row r="5" spans="1:4" ht="51.6" thickBot="1" x14ac:dyDescent="0.35">
      <c r="A5" s="49" t="s">
        <v>12</v>
      </c>
      <c r="B5" s="50">
        <v>0.34583333333333338</v>
      </c>
      <c r="C5" s="49" t="s">
        <v>516</v>
      </c>
      <c r="D5" s="49" t="s">
        <v>581</v>
      </c>
    </row>
    <row r="6" spans="1:4" ht="61.8" thickBot="1" x14ac:dyDescent="0.35">
      <c r="A6" s="47" t="s">
        <v>13</v>
      </c>
      <c r="B6" s="48">
        <v>0.33958333333333335</v>
      </c>
      <c r="C6" s="47" t="s">
        <v>512</v>
      </c>
      <c r="D6" s="47" t="s">
        <v>582</v>
      </c>
    </row>
    <row r="7" spans="1:4" ht="61.8" thickBot="1" x14ac:dyDescent="0.35">
      <c r="A7" s="49" t="s">
        <v>27</v>
      </c>
      <c r="B7" s="50">
        <v>0.37708333333333338</v>
      </c>
      <c r="C7" s="49" t="s">
        <v>512</v>
      </c>
      <c r="D7" s="49" t="s">
        <v>583</v>
      </c>
    </row>
    <row r="8" spans="1:4" ht="51.6" thickBot="1" x14ac:dyDescent="0.35">
      <c r="A8" s="47" t="s">
        <v>30</v>
      </c>
      <c r="B8" s="48">
        <v>0.34583333333333338</v>
      </c>
      <c r="C8" s="47" t="s">
        <v>512</v>
      </c>
      <c r="D8" s="47" t="s">
        <v>584</v>
      </c>
    </row>
    <row r="9" spans="1:4" ht="51.6" thickBot="1" x14ac:dyDescent="0.35">
      <c r="A9" s="49" t="s">
        <v>34</v>
      </c>
      <c r="B9" s="50">
        <v>0.3520833333333333</v>
      </c>
      <c r="C9" s="49" t="s">
        <v>512</v>
      </c>
      <c r="D9" s="49" t="s">
        <v>585</v>
      </c>
    </row>
    <row r="10" spans="1:4" ht="51.6" thickBot="1" x14ac:dyDescent="0.35">
      <c r="A10" s="47" t="s">
        <v>40</v>
      </c>
      <c r="B10" s="48">
        <v>0.3833333333333333</v>
      </c>
      <c r="C10" s="47" t="s">
        <v>512</v>
      </c>
      <c r="D10" s="47" t="s">
        <v>586</v>
      </c>
    </row>
    <row r="11" spans="1:4" ht="51.6" thickBot="1" x14ac:dyDescent="0.35">
      <c r="A11" s="49" t="s">
        <v>47</v>
      </c>
      <c r="B11" s="50">
        <v>0.35833333333333334</v>
      </c>
      <c r="C11" s="49" t="s">
        <v>516</v>
      </c>
      <c r="D11" s="49" t="s">
        <v>587</v>
      </c>
    </row>
    <row r="12" spans="1:4" ht="61.8" thickBot="1" x14ac:dyDescent="0.35">
      <c r="A12" s="47" t="s">
        <v>49</v>
      </c>
      <c r="B12" s="48">
        <v>0.40208333333333335</v>
      </c>
      <c r="C12" s="47" t="s">
        <v>512</v>
      </c>
      <c r="D12" s="47" t="s">
        <v>588</v>
      </c>
    </row>
    <row r="13" spans="1:4" ht="51.6" thickBot="1" x14ac:dyDescent="0.35">
      <c r="A13" s="49" t="s">
        <v>50</v>
      </c>
      <c r="B13" s="50">
        <v>0.34583333333333338</v>
      </c>
      <c r="C13" s="49" t="s">
        <v>512</v>
      </c>
      <c r="D13" s="49" t="s">
        <v>589</v>
      </c>
    </row>
    <row r="14" spans="1:4" ht="51.6" thickBot="1" x14ac:dyDescent="0.35">
      <c r="A14" s="47" t="s">
        <v>51</v>
      </c>
      <c r="B14" s="48">
        <v>0.36458333333333331</v>
      </c>
      <c r="C14" s="47" t="s">
        <v>512</v>
      </c>
      <c r="D14" s="47" t="s">
        <v>590</v>
      </c>
    </row>
    <row r="15" spans="1:4" ht="61.8" thickBot="1" x14ac:dyDescent="0.35">
      <c r="A15" s="49" t="s">
        <v>56</v>
      </c>
      <c r="B15" s="50">
        <v>0.4145833333333333</v>
      </c>
      <c r="C15" s="49" t="s">
        <v>512</v>
      </c>
      <c r="D15" s="49" t="s">
        <v>591</v>
      </c>
    </row>
    <row r="16" spans="1:4" ht="51.6" thickBot="1" x14ac:dyDescent="0.35">
      <c r="A16" s="47" t="s">
        <v>57</v>
      </c>
      <c r="B16" s="48">
        <v>0.38958333333333334</v>
      </c>
      <c r="C16" s="47" t="s">
        <v>512</v>
      </c>
      <c r="D16" s="47" t="s">
        <v>592</v>
      </c>
    </row>
    <row r="17" spans="1:4" ht="61.8" thickBot="1" x14ac:dyDescent="0.35">
      <c r="A17" s="49" t="s">
        <v>61</v>
      </c>
      <c r="B17" s="50">
        <v>0.3520833333333333</v>
      </c>
      <c r="C17" s="49" t="s">
        <v>512</v>
      </c>
      <c r="D17" s="49" t="s">
        <v>593</v>
      </c>
    </row>
    <row r="18" spans="1:4" ht="51.6" thickBot="1" x14ac:dyDescent="0.35">
      <c r="A18" s="47" t="s">
        <v>71</v>
      </c>
      <c r="B18" s="48">
        <v>0.37083333333333335</v>
      </c>
      <c r="C18" s="47" t="s">
        <v>512</v>
      </c>
      <c r="D18" s="47" t="s">
        <v>594</v>
      </c>
    </row>
    <row r="19" spans="1:4" ht="51.6" thickBot="1" x14ac:dyDescent="0.35">
      <c r="A19" s="49" t="s">
        <v>72</v>
      </c>
      <c r="B19" s="50">
        <v>0.38958333333333334</v>
      </c>
      <c r="C19" s="49" t="s">
        <v>512</v>
      </c>
      <c r="D19" s="49" t="s">
        <v>595</v>
      </c>
    </row>
    <row r="20" spans="1:4" ht="61.8" thickBot="1" x14ac:dyDescent="0.35">
      <c r="A20" s="47" t="s">
        <v>73</v>
      </c>
      <c r="B20" s="48">
        <v>0.4145833333333333</v>
      </c>
      <c r="C20" s="47" t="s">
        <v>512</v>
      </c>
      <c r="D20" s="47" t="s">
        <v>596</v>
      </c>
    </row>
    <row r="21" spans="1:4" ht="51.6" thickBot="1" x14ac:dyDescent="0.35">
      <c r="A21" s="49" t="s">
        <v>75</v>
      </c>
      <c r="B21" s="50">
        <v>0.37083333333333335</v>
      </c>
      <c r="C21" s="49" t="s">
        <v>512</v>
      </c>
      <c r="D21" s="49" t="s">
        <v>597</v>
      </c>
    </row>
    <row r="22" spans="1:4" ht="61.8" thickBot="1" x14ac:dyDescent="0.35">
      <c r="A22" s="47" t="s">
        <v>78</v>
      </c>
      <c r="B22" s="48">
        <v>0.34583333333333338</v>
      </c>
      <c r="C22" s="47" t="s">
        <v>516</v>
      </c>
      <c r="D22" s="47" t="s">
        <v>598</v>
      </c>
    </row>
    <row r="23" spans="1:4" ht="51.6" thickBot="1" x14ac:dyDescent="0.35">
      <c r="A23" s="49" t="s">
        <v>79</v>
      </c>
      <c r="B23" s="50">
        <v>0.3833333333333333</v>
      </c>
      <c r="C23" s="49" t="s">
        <v>512</v>
      </c>
      <c r="D23" s="49" t="s">
        <v>599</v>
      </c>
    </row>
    <row r="24" spans="1:4" ht="51.6" thickBot="1" x14ac:dyDescent="0.35">
      <c r="A24" s="47" t="s">
        <v>85</v>
      </c>
      <c r="B24" s="48">
        <v>0.35833333333333334</v>
      </c>
      <c r="C24" s="47" t="s">
        <v>516</v>
      </c>
      <c r="D24" s="47" t="s">
        <v>600</v>
      </c>
    </row>
    <row r="25" spans="1:4" ht="61.8" thickBot="1" x14ac:dyDescent="0.35">
      <c r="A25" s="49" t="s">
        <v>88</v>
      </c>
      <c r="B25" s="50">
        <v>0.35833333333333334</v>
      </c>
      <c r="C25" s="49" t="s">
        <v>516</v>
      </c>
      <c r="D25" s="49" t="s">
        <v>601</v>
      </c>
    </row>
    <row r="26" spans="1:4" ht="61.8" thickBot="1" x14ac:dyDescent="0.35">
      <c r="A26" s="47" t="s">
        <v>97</v>
      </c>
      <c r="B26" s="48">
        <v>0.40208333333333335</v>
      </c>
      <c r="C26" s="47" t="s">
        <v>512</v>
      </c>
      <c r="D26" s="47" t="s">
        <v>602</v>
      </c>
    </row>
    <row r="27" spans="1:4" ht="61.8" thickBot="1" x14ac:dyDescent="0.35">
      <c r="A27" s="49" t="s">
        <v>99</v>
      </c>
      <c r="B27" s="50">
        <v>0.37083333333333335</v>
      </c>
      <c r="C27" s="49" t="s">
        <v>512</v>
      </c>
      <c r="D27" s="49" t="s">
        <v>603</v>
      </c>
    </row>
    <row r="28" spans="1:4" ht="41.4" thickBot="1" x14ac:dyDescent="0.35">
      <c r="A28" s="47" t="s">
        <v>104</v>
      </c>
      <c r="B28" s="48">
        <v>0.40833333333333338</v>
      </c>
      <c r="C28" s="47" t="s">
        <v>512</v>
      </c>
      <c r="D28" s="47" t="s">
        <v>604</v>
      </c>
    </row>
    <row r="29" spans="1:4" ht="51.6" thickBot="1" x14ac:dyDescent="0.35">
      <c r="A29" s="49" t="s">
        <v>105</v>
      </c>
      <c r="B29" s="50">
        <v>0.39583333333333331</v>
      </c>
      <c r="C29" s="49" t="s">
        <v>512</v>
      </c>
      <c r="D29" s="49" t="s">
        <v>605</v>
      </c>
    </row>
    <row r="30" spans="1:4" ht="61.8" thickBot="1" x14ac:dyDescent="0.35">
      <c r="A30" s="47" t="s">
        <v>235</v>
      </c>
      <c r="B30" s="48">
        <v>0.33958333333333335</v>
      </c>
      <c r="C30" s="47" t="s">
        <v>512</v>
      </c>
      <c r="D30" s="47" t="s">
        <v>606</v>
      </c>
    </row>
    <row r="31" spans="1:4" ht="61.8" thickBot="1" x14ac:dyDescent="0.35">
      <c r="A31" s="49" t="s">
        <v>134</v>
      </c>
      <c r="B31" s="50">
        <v>0.33958333333333335</v>
      </c>
      <c r="C31" s="49" t="s">
        <v>512</v>
      </c>
      <c r="D31" s="49" t="s">
        <v>607</v>
      </c>
    </row>
    <row r="32" spans="1:4" ht="41.4" thickBot="1" x14ac:dyDescent="0.35">
      <c r="A32" s="47" t="s">
        <v>136</v>
      </c>
      <c r="B32" s="48">
        <v>0.39583333333333331</v>
      </c>
      <c r="C32" s="47" t="s">
        <v>512</v>
      </c>
      <c r="D32" s="47" t="s">
        <v>608</v>
      </c>
    </row>
    <row r="33" spans="1:4" ht="61.8" thickBot="1" x14ac:dyDescent="0.35">
      <c r="A33" s="49" t="s">
        <v>138</v>
      </c>
      <c r="B33" s="50">
        <v>0.37708333333333338</v>
      </c>
      <c r="C33" s="49" t="s">
        <v>512</v>
      </c>
      <c r="D33" s="49" t="s">
        <v>609</v>
      </c>
    </row>
    <row r="34" spans="1:4" ht="61.8" thickBot="1" x14ac:dyDescent="0.35">
      <c r="A34" s="47" t="s">
        <v>141</v>
      </c>
      <c r="B34" s="48">
        <v>0.4145833333333333</v>
      </c>
      <c r="C34" s="47" t="s">
        <v>512</v>
      </c>
      <c r="D34" s="47" t="s">
        <v>610</v>
      </c>
    </row>
    <row r="35" spans="1:4" ht="41.4" thickBot="1" x14ac:dyDescent="0.35">
      <c r="A35" s="49" t="s">
        <v>148</v>
      </c>
      <c r="B35" s="50">
        <v>0.38958333333333334</v>
      </c>
      <c r="C35" s="49" t="s">
        <v>512</v>
      </c>
      <c r="D35" s="49" t="s">
        <v>611</v>
      </c>
    </row>
    <row r="36" spans="1:4" ht="51.6" thickBot="1" x14ac:dyDescent="0.35">
      <c r="A36" s="47" t="s">
        <v>152</v>
      </c>
      <c r="B36" s="48">
        <v>0.33333333333333331</v>
      </c>
      <c r="C36" s="47" t="s">
        <v>512</v>
      </c>
      <c r="D36" s="47" t="s">
        <v>612</v>
      </c>
    </row>
    <row r="37" spans="1:4" ht="51.6" thickBot="1" x14ac:dyDescent="0.35">
      <c r="A37" s="49" t="s">
        <v>154</v>
      </c>
      <c r="B37" s="50">
        <v>0.3520833333333333</v>
      </c>
      <c r="C37" s="49" t="s">
        <v>512</v>
      </c>
      <c r="D37" s="49" t="s">
        <v>613</v>
      </c>
    </row>
    <row r="38" spans="1:4" ht="51.6" thickBot="1" x14ac:dyDescent="0.35">
      <c r="A38" s="47" t="s">
        <v>164</v>
      </c>
      <c r="B38" s="48">
        <v>0.33333333333333331</v>
      </c>
      <c r="C38" s="47" t="s">
        <v>512</v>
      </c>
      <c r="D38" s="47" t="s">
        <v>614</v>
      </c>
    </row>
    <row r="39" spans="1:4" s="83" customFormat="1" ht="51.6" thickBot="1" x14ac:dyDescent="0.35">
      <c r="A39" s="49" t="s">
        <v>165</v>
      </c>
      <c r="B39" s="50">
        <v>0.33333333333333331</v>
      </c>
      <c r="C39" s="49" t="s">
        <v>512</v>
      </c>
      <c r="D39" s="47" t="s">
        <v>824</v>
      </c>
    </row>
    <row r="40" spans="1:4" ht="51.6" thickBot="1" x14ac:dyDescent="0.35">
      <c r="A40" s="47" t="s">
        <v>168</v>
      </c>
      <c r="B40" s="48">
        <v>0.40208333333333335</v>
      </c>
      <c r="C40" s="47" t="s">
        <v>512</v>
      </c>
      <c r="D40" s="47" t="s">
        <v>615</v>
      </c>
    </row>
    <row r="41" spans="1:4" ht="41.4" thickBot="1" x14ac:dyDescent="0.35">
      <c r="A41" s="49" t="s">
        <v>169</v>
      </c>
      <c r="B41" s="50">
        <v>0.3833333333333333</v>
      </c>
      <c r="C41" s="49" t="s">
        <v>512</v>
      </c>
      <c r="D41" s="49" t="s">
        <v>616</v>
      </c>
    </row>
    <row r="42" spans="1:4" ht="51.6" thickBot="1" x14ac:dyDescent="0.35">
      <c r="A42" s="47" t="s">
        <v>174</v>
      </c>
      <c r="B42" s="48">
        <v>0.39583333333333331</v>
      </c>
      <c r="C42" s="47" t="s">
        <v>512</v>
      </c>
      <c r="D42" s="47" t="s">
        <v>617</v>
      </c>
    </row>
    <row r="43" spans="1:4" ht="31.2" thickBot="1" x14ac:dyDescent="0.35">
      <c r="A43" s="49" t="s">
        <v>178</v>
      </c>
      <c r="B43" s="50">
        <v>0.40833333333333338</v>
      </c>
      <c r="C43" s="49" t="s">
        <v>512</v>
      </c>
      <c r="D43" s="49" t="s">
        <v>618</v>
      </c>
    </row>
    <row r="44" spans="1:4" ht="41.4" thickBot="1" x14ac:dyDescent="0.35">
      <c r="A44" s="47" t="s">
        <v>179</v>
      </c>
      <c r="B44" s="48">
        <v>0.33333333333333331</v>
      </c>
      <c r="C44" s="47" t="s">
        <v>512</v>
      </c>
      <c r="D44" s="47" t="s">
        <v>619</v>
      </c>
    </row>
    <row r="45" spans="1:4" ht="61.8" thickBot="1" x14ac:dyDescent="0.35">
      <c r="A45" s="49" t="s">
        <v>183</v>
      </c>
      <c r="B45" s="50">
        <v>0.4145833333333333</v>
      </c>
      <c r="C45" s="49" t="s">
        <v>512</v>
      </c>
      <c r="D45" s="49" t="s">
        <v>620</v>
      </c>
    </row>
    <row r="46" spans="1:4" ht="61.8" thickBot="1" x14ac:dyDescent="0.35">
      <c r="A46" s="47" t="s">
        <v>185</v>
      </c>
      <c r="B46" s="48">
        <v>0.37708333333333338</v>
      </c>
      <c r="C46" s="47" t="s">
        <v>512</v>
      </c>
      <c r="D46" s="47" t="s">
        <v>621</v>
      </c>
    </row>
    <row r="47" spans="1:4" ht="41.4" thickBot="1" x14ac:dyDescent="0.35">
      <c r="A47" s="49" t="s">
        <v>186</v>
      </c>
      <c r="B47" s="50">
        <v>0.3833333333333333</v>
      </c>
      <c r="C47" s="49" t="s">
        <v>512</v>
      </c>
      <c r="D47" s="49" t="s">
        <v>622</v>
      </c>
    </row>
    <row r="48" spans="1:4" ht="51.6" thickBot="1" x14ac:dyDescent="0.35">
      <c r="A48" s="47" t="s">
        <v>187</v>
      </c>
      <c r="B48" s="48">
        <v>0.36458333333333331</v>
      </c>
      <c r="C48" s="47" t="s">
        <v>512</v>
      </c>
      <c r="D48" s="47" t="s">
        <v>623</v>
      </c>
    </row>
    <row r="49" spans="1:4" ht="61.8" thickBot="1" x14ac:dyDescent="0.35">
      <c r="A49" s="49" t="s">
        <v>188</v>
      </c>
      <c r="B49" s="50">
        <v>0.33958333333333335</v>
      </c>
      <c r="C49" s="49" t="s">
        <v>512</v>
      </c>
      <c r="D49" s="49" t="s">
        <v>624</v>
      </c>
    </row>
    <row r="50" spans="1:4" ht="61.8" thickBot="1" x14ac:dyDescent="0.35">
      <c r="A50" s="47" t="s">
        <v>190</v>
      </c>
      <c r="B50" s="48">
        <v>0.36458333333333331</v>
      </c>
      <c r="C50" s="47" t="s">
        <v>512</v>
      </c>
      <c r="D50" s="47" t="s">
        <v>625</v>
      </c>
    </row>
    <row r="51" spans="1:4" ht="41.4" thickBot="1" x14ac:dyDescent="0.35">
      <c r="A51" s="49" t="s">
        <v>197</v>
      </c>
      <c r="B51" s="50">
        <v>0.39583333333333331</v>
      </c>
      <c r="C51" s="49" t="s">
        <v>512</v>
      </c>
      <c r="D51" s="49" t="s">
        <v>626</v>
      </c>
    </row>
    <row r="52" spans="1:4" ht="51.6" thickBot="1" x14ac:dyDescent="0.35">
      <c r="A52" s="47" t="s">
        <v>201</v>
      </c>
      <c r="B52" s="48">
        <v>0.36458333333333331</v>
      </c>
      <c r="C52" s="47" t="s">
        <v>512</v>
      </c>
      <c r="D52" s="47" t="s">
        <v>627</v>
      </c>
    </row>
    <row r="53" spans="1:4" ht="51.6" thickBot="1" x14ac:dyDescent="0.35">
      <c r="A53" s="49" t="s">
        <v>202</v>
      </c>
      <c r="B53" s="50">
        <v>0.40208333333333335</v>
      </c>
      <c r="C53" s="49" t="s">
        <v>512</v>
      </c>
      <c r="D53" s="49" t="s">
        <v>628</v>
      </c>
    </row>
    <row r="54" spans="1:4" ht="51.6" thickBot="1" x14ac:dyDescent="0.35">
      <c r="A54" s="47" t="s">
        <v>205</v>
      </c>
      <c r="B54" s="48">
        <v>0.35833333333333334</v>
      </c>
      <c r="C54" s="47" t="s">
        <v>516</v>
      </c>
      <c r="D54" s="47" t="s">
        <v>629</v>
      </c>
    </row>
    <row r="55" spans="1:4" ht="51.6" thickBot="1" x14ac:dyDescent="0.35">
      <c r="A55" s="49" t="s">
        <v>210</v>
      </c>
      <c r="B55" s="50">
        <v>0.37083333333333335</v>
      </c>
      <c r="C55" s="49" t="s">
        <v>512</v>
      </c>
      <c r="D55" s="49" t="s">
        <v>630</v>
      </c>
    </row>
    <row r="56" spans="1:4" ht="51.6" thickBot="1" x14ac:dyDescent="0.35">
      <c r="A56" s="51" t="s">
        <v>211</v>
      </c>
      <c r="B56" s="52">
        <v>0.3520833333333333</v>
      </c>
      <c r="C56" s="51" t="s">
        <v>512</v>
      </c>
      <c r="D56" s="51" t="s">
        <v>631</v>
      </c>
    </row>
  </sheetData>
  <pageMargins left="0.7" right="0.7" top="0.75" bottom="0.75" header="0.3" footer="0.3"/>
  <pageSetup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E46DE-7757-4AD0-BB07-FCD801B46FAF}">
  <dimension ref="A1:F19"/>
  <sheetViews>
    <sheetView workbookViewId="0">
      <selection sqref="A1:B1"/>
    </sheetView>
    <sheetView workbookViewId="1">
      <selection sqref="A1:B1"/>
    </sheetView>
    <sheetView workbookViewId="2">
      <selection sqref="A1:B1"/>
    </sheetView>
  </sheetViews>
  <sheetFormatPr defaultRowHeight="14.4" x14ac:dyDescent="0.3"/>
  <cols>
    <col min="3" max="3" width="9.5546875" bestFit="1" customWidth="1"/>
  </cols>
  <sheetData>
    <row r="1" spans="1:6" x14ac:dyDescent="0.3">
      <c r="A1" s="100" t="s">
        <v>233</v>
      </c>
      <c r="B1" s="100"/>
      <c r="C1" s="40">
        <v>44394</v>
      </c>
    </row>
    <row r="2" spans="1:6" x14ac:dyDescent="0.3">
      <c r="A2" s="36" t="s">
        <v>501</v>
      </c>
      <c r="B2" s="36" t="s">
        <v>502</v>
      </c>
      <c r="C2" s="36" t="s">
        <v>503</v>
      </c>
      <c r="D2" s="36" t="s">
        <v>504</v>
      </c>
      <c r="E2" s="36" t="s">
        <v>505</v>
      </c>
      <c r="F2" s="36" t="s">
        <v>506</v>
      </c>
    </row>
    <row r="3" spans="1:6" x14ac:dyDescent="0.3">
      <c r="A3" s="38">
        <v>0.32916666666666666</v>
      </c>
      <c r="B3" s="38">
        <v>0.32847222222222222</v>
      </c>
      <c r="C3" s="38">
        <v>0.51180555555555551</v>
      </c>
      <c r="D3" s="38">
        <f>C3-B3</f>
        <v>0.18333333333333329</v>
      </c>
      <c r="E3" s="36" t="s">
        <v>507</v>
      </c>
      <c r="F3" s="37">
        <f>COUNT(A4:A$21)*4</f>
        <v>64</v>
      </c>
    </row>
    <row r="4" spans="1:6" x14ac:dyDescent="0.3">
      <c r="A4" s="38">
        <v>0.33611111111111108</v>
      </c>
      <c r="B4" s="38">
        <v>0.33680555555555558</v>
      </c>
      <c r="C4" s="38">
        <v>0.52361111111111114</v>
      </c>
      <c r="D4" s="38">
        <f>C4-B4</f>
        <v>0.18680555555555556</v>
      </c>
      <c r="E4" s="39">
        <f>C4-C3</f>
        <v>1.1805555555555625E-2</v>
      </c>
      <c r="F4" s="37">
        <f>COUNT(A5:A$21)*4</f>
        <v>60</v>
      </c>
    </row>
    <row r="5" spans="1:6" x14ac:dyDescent="0.3">
      <c r="A5" s="38">
        <v>0.3430555555555555</v>
      </c>
      <c r="B5" s="38">
        <v>0.34375</v>
      </c>
      <c r="C5" s="38">
        <v>0.53402777777777777</v>
      </c>
      <c r="D5" s="39">
        <f>C5-B5</f>
        <v>0.19027777777777777</v>
      </c>
      <c r="E5" s="38">
        <f>C5-C4</f>
        <v>1.041666666666663E-2</v>
      </c>
      <c r="F5" s="37">
        <f>COUNT(A6:A$21)*4</f>
        <v>56</v>
      </c>
    </row>
    <row r="6" spans="1:6" x14ac:dyDescent="0.3">
      <c r="A6" s="38">
        <v>0.35000000000000003</v>
      </c>
      <c r="B6" s="38">
        <v>0.35000000000000003</v>
      </c>
      <c r="C6" s="38">
        <v>0.54027777777777775</v>
      </c>
      <c r="D6" s="39">
        <f t="shared" ref="D6:D19" si="0">C6-B6</f>
        <v>0.19027777777777771</v>
      </c>
      <c r="E6" s="38">
        <f t="shared" ref="E6:E19" si="1">C6-C5</f>
        <v>6.2499999999999778E-3</v>
      </c>
      <c r="F6" s="37">
        <f>COUNT(A7:A$21)*4</f>
        <v>52</v>
      </c>
    </row>
    <row r="7" spans="1:6" x14ac:dyDescent="0.3">
      <c r="A7" s="38">
        <v>0.35694444444444445</v>
      </c>
      <c r="B7" s="38">
        <v>0.35625000000000001</v>
      </c>
      <c r="C7" s="38">
        <v>0.54583333333333328</v>
      </c>
      <c r="D7" s="39">
        <f t="shared" si="0"/>
        <v>0.18958333333333327</v>
      </c>
      <c r="E7" s="38">
        <f t="shared" si="1"/>
        <v>5.5555555555555358E-3</v>
      </c>
      <c r="F7" s="37">
        <f>COUNT(A8:A$21)*4</f>
        <v>48</v>
      </c>
    </row>
    <row r="8" spans="1:6" x14ac:dyDescent="0.3">
      <c r="A8" s="38">
        <v>0.36388888888888887</v>
      </c>
      <c r="B8" s="38">
        <v>0.36319444444444443</v>
      </c>
      <c r="C8" s="38">
        <v>0.55138888888888882</v>
      </c>
      <c r="D8" s="39">
        <f t="shared" si="0"/>
        <v>0.18819444444444439</v>
      </c>
      <c r="E8" s="38">
        <f t="shared" si="1"/>
        <v>5.5555555555555358E-3</v>
      </c>
      <c r="F8" s="37">
        <f>COUNT(A9:A$21)*4</f>
        <v>44</v>
      </c>
    </row>
    <row r="9" spans="1:6" x14ac:dyDescent="0.3">
      <c r="A9" s="38">
        <v>0.37083333333333335</v>
      </c>
      <c r="B9" s="38">
        <v>0.37083333333333335</v>
      </c>
      <c r="C9" s="38">
        <v>0.56041666666666667</v>
      </c>
      <c r="D9" s="39">
        <f t="shared" si="0"/>
        <v>0.18958333333333333</v>
      </c>
      <c r="E9" s="38">
        <f t="shared" si="1"/>
        <v>9.0277777777778567E-3</v>
      </c>
      <c r="F9" s="37">
        <f>COUNT(A10:A$21)*4</f>
        <v>40</v>
      </c>
    </row>
    <row r="10" spans="1:6" x14ac:dyDescent="0.3">
      <c r="A10" s="38">
        <v>0.37777777777777777</v>
      </c>
      <c r="B10" s="38">
        <v>0.37777777777777777</v>
      </c>
      <c r="C10" s="38">
        <v>0.56597222222222221</v>
      </c>
      <c r="D10" s="39">
        <f t="shared" si="0"/>
        <v>0.18819444444444444</v>
      </c>
      <c r="E10" s="38">
        <f t="shared" si="1"/>
        <v>5.5555555555555358E-3</v>
      </c>
      <c r="F10" s="37">
        <f>COUNT(A11:A$21)*4</f>
        <v>36</v>
      </c>
    </row>
    <row r="11" spans="1:6" x14ac:dyDescent="0.3">
      <c r="A11" s="38">
        <v>0.38472222222222219</v>
      </c>
      <c r="B11" s="38">
        <v>0.38472222222222219</v>
      </c>
      <c r="C11" s="38">
        <v>0.58194444444444449</v>
      </c>
      <c r="D11" s="39">
        <f t="shared" si="0"/>
        <v>0.1972222222222223</v>
      </c>
      <c r="E11" s="39">
        <f>C11-C10</f>
        <v>1.5972222222222276E-2</v>
      </c>
      <c r="F11" s="37">
        <f>COUNT(A12:A$21)*4</f>
        <v>32</v>
      </c>
    </row>
    <row r="12" spans="1:6" x14ac:dyDescent="0.3">
      <c r="A12" s="38">
        <v>0.39166666666666666</v>
      </c>
      <c r="B12" s="38">
        <v>0.39097222222222222</v>
      </c>
      <c r="C12" s="38">
        <v>0.58819444444444446</v>
      </c>
      <c r="D12" s="39">
        <f t="shared" si="0"/>
        <v>0.19722222222222224</v>
      </c>
      <c r="E12" s="38">
        <f t="shared" si="1"/>
        <v>6.2499999999999778E-3</v>
      </c>
      <c r="F12" s="37">
        <f>COUNT(A13:A$21)*4</f>
        <v>28</v>
      </c>
    </row>
    <row r="13" spans="1:6" x14ac:dyDescent="0.3">
      <c r="A13" s="38">
        <v>0.39861111111111108</v>
      </c>
      <c r="B13" s="38">
        <v>0.3972222222222222</v>
      </c>
      <c r="C13" s="38">
        <v>0.59444444444444444</v>
      </c>
      <c r="D13" s="39">
        <f t="shared" si="0"/>
        <v>0.19722222222222224</v>
      </c>
      <c r="E13" s="38">
        <f t="shared" si="1"/>
        <v>6.2499999999999778E-3</v>
      </c>
      <c r="F13" s="37">
        <f>COUNT(A14:A$21)*4</f>
        <v>24</v>
      </c>
    </row>
    <row r="14" spans="1:6" x14ac:dyDescent="0.3">
      <c r="A14" s="38">
        <v>0.4055555555555555</v>
      </c>
      <c r="B14" s="38">
        <v>0.4055555555555555</v>
      </c>
      <c r="C14" s="38">
        <v>0.60347222222222219</v>
      </c>
      <c r="D14" s="39">
        <f t="shared" si="0"/>
        <v>0.19791666666666669</v>
      </c>
      <c r="E14" s="38">
        <f t="shared" si="1"/>
        <v>9.0277777777777457E-3</v>
      </c>
      <c r="F14" s="37">
        <f>COUNT(A15:A$21)*4</f>
        <v>20</v>
      </c>
    </row>
    <row r="15" spans="1:6" x14ac:dyDescent="0.3">
      <c r="A15" s="38">
        <v>0.41250000000000003</v>
      </c>
      <c r="B15" s="38">
        <v>0.41180555555555554</v>
      </c>
      <c r="C15" s="38">
        <v>0.60763888888888895</v>
      </c>
      <c r="D15" s="39">
        <f t="shared" si="0"/>
        <v>0.19583333333333341</v>
      </c>
      <c r="E15" s="38">
        <f t="shared" si="1"/>
        <v>4.1666666666667629E-3</v>
      </c>
      <c r="F15" s="37">
        <f>COUNT(A16:A$21)*4</f>
        <v>16</v>
      </c>
    </row>
    <row r="16" spans="1:6" x14ac:dyDescent="0.3">
      <c r="A16" s="38">
        <v>0.41944444444444445</v>
      </c>
      <c r="B16" s="38">
        <v>0.41805555555555557</v>
      </c>
      <c r="C16" s="38">
        <v>0.61319444444444449</v>
      </c>
      <c r="D16" s="39">
        <f t="shared" si="0"/>
        <v>0.19513888888888892</v>
      </c>
      <c r="E16" s="38">
        <f t="shared" si="1"/>
        <v>5.5555555555555358E-3</v>
      </c>
      <c r="F16" s="37">
        <f>COUNT(A17:A$21)*4</f>
        <v>12</v>
      </c>
    </row>
    <row r="17" spans="1:6" x14ac:dyDescent="0.3">
      <c r="A17" s="38">
        <v>0.42638888888888887</v>
      </c>
      <c r="B17" s="38">
        <v>0.42291666666666666</v>
      </c>
      <c r="C17" s="38">
        <v>0.61875000000000002</v>
      </c>
      <c r="D17" s="39">
        <f t="shared" si="0"/>
        <v>0.19583333333333336</v>
      </c>
      <c r="E17" s="38">
        <f t="shared" si="1"/>
        <v>5.5555555555555358E-3</v>
      </c>
      <c r="F17" s="37">
        <f>COUNT(A18:A$21)*4</f>
        <v>8</v>
      </c>
    </row>
    <row r="18" spans="1:6" x14ac:dyDescent="0.3">
      <c r="A18" s="38">
        <v>0.43333333333333335</v>
      </c>
      <c r="B18" s="38">
        <v>0.4291666666666667</v>
      </c>
      <c r="C18" s="38">
        <v>0.62361111111111112</v>
      </c>
      <c r="D18" s="39">
        <f t="shared" si="0"/>
        <v>0.19444444444444442</v>
      </c>
      <c r="E18" s="38">
        <f t="shared" si="1"/>
        <v>4.8611111111110938E-3</v>
      </c>
      <c r="F18" s="37">
        <f>COUNT(A19:A$21)*4</f>
        <v>4</v>
      </c>
    </row>
    <row r="19" spans="1:6" x14ac:dyDescent="0.3">
      <c r="A19" s="38">
        <v>0.44027777777777777</v>
      </c>
      <c r="B19" s="38">
        <v>0.4381944444444445</v>
      </c>
      <c r="C19" s="38">
        <v>0.63263888888888886</v>
      </c>
      <c r="D19" s="39">
        <f t="shared" si="0"/>
        <v>0.19444444444444436</v>
      </c>
      <c r="E19" s="38">
        <f t="shared" si="1"/>
        <v>9.0277777777777457E-3</v>
      </c>
      <c r="F19" s="37">
        <f>COUNT(A20:A$21)*4</f>
        <v>0</v>
      </c>
    </row>
  </sheetData>
  <mergeCells count="1">
    <mergeCell ref="A1:B1"/>
  </mergeCells>
  <pageMargins left="0.7" right="0.7" top="0.75" bottom="0.75" header="0.3" footer="0.3"/>
  <ignoredErrors>
    <ignoredError sqref="F3" formulaRange="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D872D-CA2C-42B2-B0CA-C6E354A0AF92}">
  <dimension ref="A1:D65"/>
  <sheetViews>
    <sheetView workbookViewId="0"/>
    <sheetView workbookViewId="1"/>
    <sheetView workbookViewId="2"/>
  </sheetViews>
  <sheetFormatPr defaultRowHeight="14.4" x14ac:dyDescent="0.3"/>
  <sheetData>
    <row r="1" spans="1:4" ht="15" thickBot="1" x14ac:dyDescent="0.35">
      <c r="A1" s="46" t="s">
        <v>508</v>
      </c>
      <c r="B1" s="46" t="s">
        <v>509</v>
      </c>
      <c r="C1" s="46" t="s">
        <v>510</v>
      </c>
      <c r="D1" s="46" t="s">
        <v>511</v>
      </c>
    </row>
    <row r="2" spans="1:4" ht="61.8" thickBot="1" x14ac:dyDescent="0.35">
      <c r="A2" s="47" t="s">
        <v>5</v>
      </c>
      <c r="B2" s="48">
        <v>0.35694444444444445</v>
      </c>
      <c r="C2" s="47" t="s">
        <v>512</v>
      </c>
      <c r="D2" s="47" t="s">
        <v>632</v>
      </c>
    </row>
    <row r="3" spans="1:4" ht="51.6" thickBot="1" x14ac:dyDescent="0.35">
      <c r="A3" s="49" t="s">
        <v>12</v>
      </c>
      <c r="B3" s="50">
        <v>0.33611111111111108</v>
      </c>
      <c r="C3" s="49" t="s">
        <v>516</v>
      </c>
      <c r="D3" s="49" t="s">
        <v>633</v>
      </c>
    </row>
    <row r="4" spans="1:4" ht="51.6" thickBot="1" x14ac:dyDescent="0.35">
      <c r="A4" s="47" t="s">
        <v>14</v>
      </c>
      <c r="B4" s="48">
        <v>0.35000000000000003</v>
      </c>
      <c r="C4" s="47" t="s">
        <v>634</v>
      </c>
      <c r="D4" s="47" t="s">
        <v>635</v>
      </c>
    </row>
    <row r="5" spans="1:4" ht="41.4" thickBot="1" x14ac:dyDescent="0.35">
      <c r="A5" s="49" t="s">
        <v>18</v>
      </c>
      <c r="B5" s="50">
        <v>0.41944444444444445</v>
      </c>
      <c r="C5" s="49" t="s">
        <v>512</v>
      </c>
      <c r="D5" s="49" t="s">
        <v>636</v>
      </c>
    </row>
    <row r="6" spans="1:4" ht="51.6" thickBot="1" x14ac:dyDescent="0.35">
      <c r="A6" s="47" t="s">
        <v>20</v>
      </c>
      <c r="B6" s="48">
        <v>0.39166666666666666</v>
      </c>
      <c r="C6" s="47" t="s">
        <v>512</v>
      </c>
      <c r="D6" s="47" t="s">
        <v>637</v>
      </c>
    </row>
    <row r="7" spans="1:4" ht="61.8" thickBot="1" x14ac:dyDescent="0.35">
      <c r="A7" s="49" t="s">
        <v>23</v>
      </c>
      <c r="B7" s="50">
        <v>0.37083333333333335</v>
      </c>
      <c r="C7" s="49" t="s">
        <v>512</v>
      </c>
      <c r="D7" s="49" t="s">
        <v>638</v>
      </c>
    </row>
    <row r="8" spans="1:4" ht="61.8" thickBot="1" x14ac:dyDescent="0.35">
      <c r="A8" s="47" t="s">
        <v>25</v>
      </c>
      <c r="B8" s="48">
        <v>0.39861111111111108</v>
      </c>
      <c r="C8" s="47" t="s">
        <v>516</v>
      </c>
      <c r="D8" s="47" t="s">
        <v>536</v>
      </c>
    </row>
    <row r="9" spans="1:4" ht="51.6" thickBot="1" x14ac:dyDescent="0.35">
      <c r="A9" s="49" t="s">
        <v>27</v>
      </c>
      <c r="B9" s="50">
        <v>0.33611111111111108</v>
      </c>
      <c r="C9" s="49" t="s">
        <v>512</v>
      </c>
      <c r="D9" s="49" t="s">
        <v>639</v>
      </c>
    </row>
    <row r="10" spans="1:4" ht="51.6" thickBot="1" x14ac:dyDescent="0.35">
      <c r="A10" s="47" t="s">
        <v>35</v>
      </c>
      <c r="B10" s="48">
        <v>0.41944444444444445</v>
      </c>
      <c r="C10" s="47" t="s">
        <v>516</v>
      </c>
      <c r="D10" s="47" t="s">
        <v>640</v>
      </c>
    </row>
    <row r="11" spans="1:4" ht="31.2" thickBot="1" x14ac:dyDescent="0.35">
      <c r="A11" s="49" t="s">
        <v>40</v>
      </c>
      <c r="B11" s="50">
        <v>0.43333333333333335</v>
      </c>
      <c r="C11" s="49" t="s">
        <v>512</v>
      </c>
      <c r="D11" s="49" t="s">
        <v>641</v>
      </c>
    </row>
    <row r="12" spans="1:4" ht="51.6" thickBot="1" x14ac:dyDescent="0.35">
      <c r="A12" s="47" t="s">
        <v>41</v>
      </c>
      <c r="B12" s="48">
        <v>0.35000000000000003</v>
      </c>
      <c r="C12" s="47" t="s">
        <v>516</v>
      </c>
      <c r="D12" s="47" t="s">
        <v>642</v>
      </c>
    </row>
    <row r="13" spans="1:4" ht="51.6" thickBot="1" x14ac:dyDescent="0.35">
      <c r="A13" s="49" t="s">
        <v>43</v>
      </c>
      <c r="B13" s="50">
        <v>0.41944444444444445</v>
      </c>
      <c r="C13" s="49" t="s">
        <v>512</v>
      </c>
      <c r="D13" s="49" t="s">
        <v>643</v>
      </c>
    </row>
    <row r="14" spans="1:4" ht="51.6" thickBot="1" x14ac:dyDescent="0.35">
      <c r="A14" s="47" t="s">
        <v>46</v>
      </c>
      <c r="B14" s="48">
        <v>0.42638888888888887</v>
      </c>
      <c r="C14" s="47" t="s">
        <v>512</v>
      </c>
      <c r="D14" s="47" t="s">
        <v>644</v>
      </c>
    </row>
    <row r="15" spans="1:4" ht="51.6" thickBot="1" x14ac:dyDescent="0.35">
      <c r="A15" s="49" t="s">
        <v>47</v>
      </c>
      <c r="B15" s="50">
        <v>0.42638888888888887</v>
      </c>
      <c r="C15" s="49" t="s">
        <v>516</v>
      </c>
      <c r="D15" s="49" t="s">
        <v>645</v>
      </c>
    </row>
    <row r="16" spans="1:4" ht="41.4" thickBot="1" x14ac:dyDescent="0.35">
      <c r="A16" s="47" t="s">
        <v>48</v>
      </c>
      <c r="B16" s="48">
        <v>0.44027777777777777</v>
      </c>
      <c r="C16" s="47" t="s">
        <v>512</v>
      </c>
      <c r="D16" s="47" t="s">
        <v>646</v>
      </c>
    </row>
    <row r="17" spans="1:4" ht="61.8" thickBot="1" x14ac:dyDescent="0.35">
      <c r="A17" s="49" t="s">
        <v>50</v>
      </c>
      <c r="B17" s="50">
        <v>0.37777777777777777</v>
      </c>
      <c r="C17" s="49" t="s">
        <v>516</v>
      </c>
      <c r="D17" s="49" t="s">
        <v>647</v>
      </c>
    </row>
    <row r="18" spans="1:4" ht="51.6" thickBot="1" x14ac:dyDescent="0.35">
      <c r="A18" s="47" t="s">
        <v>51</v>
      </c>
      <c r="B18" s="48">
        <v>0.3430555555555555</v>
      </c>
      <c r="C18" s="47" t="s">
        <v>512</v>
      </c>
      <c r="D18" s="47" t="s">
        <v>648</v>
      </c>
    </row>
    <row r="19" spans="1:4" ht="51.6" thickBot="1" x14ac:dyDescent="0.35">
      <c r="A19" s="49" t="s">
        <v>56</v>
      </c>
      <c r="B19" s="50">
        <v>0.38472222222222219</v>
      </c>
      <c r="C19" s="49" t="s">
        <v>512</v>
      </c>
      <c r="D19" s="49" t="s">
        <v>649</v>
      </c>
    </row>
    <row r="20" spans="1:4" ht="51.6" thickBot="1" x14ac:dyDescent="0.35">
      <c r="A20" s="47" t="s">
        <v>59</v>
      </c>
      <c r="B20" s="48">
        <v>0.38472222222222219</v>
      </c>
      <c r="C20" s="47" t="s">
        <v>512</v>
      </c>
      <c r="D20" s="47" t="s">
        <v>650</v>
      </c>
    </row>
    <row r="21" spans="1:4" ht="61.8" thickBot="1" x14ac:dyDescent="0.35">
      <c r="A21" s="49" t="s">
        <v>65</v>
      </c>
      <c r="B21" s="50">
        <v>0.4055555555555555</v>
      </c>
      <c r="C21" s="49" t="s">
        <v>512</v>
      </c>
      <c r="D21" s="49" t="s">
        <v>651</v>
      </c>
    </row>
    <row r="22" spans="1:4" ht="61.8" thickBot="1" x14ac:dyDescent="0.35">
      <c r="A22" s="47" t="s">
        <v>69</v>
      </c>
      <c r="B22" s="48">
        <v>0.4055555555555555</v>
      </c>
      <c r="C22" s="47" t="s">
        <v>512</v>
      </c>
      <c r="D22" s="47" t="s">
        <v>652</v>
      </c>
    </row>
    <row r="23" spans="1:4" ht="61.8" thickBot="1" x14ac:dyDescent="0.35">
      <c r="A23" s="49" t="s">
        <v>72</v>
      </c>
      <c r="B23" s="50">
        <v>0.33611111111111108</v>
      </c>
      <c r="C23" s="49" t="s">
        <v>512</v>
      </c>
      <c r="D23" s="49" t="s">
        <v>653</v>
      </c>
    </row>
    <row r="24" spans="1:4" ht="61.8" thickBot="1" x14ac:dyDescent="0.35">
      <c r="A24" s="47" t="s">
        <v>75</v>
      </c>
      <c r="B24" s="48">
        <v>0.37777777777777777</v>
      </c>
      <c r="C24" s="47" t="s">
        <v>512</v>
      </c>
      <c r="D24" s="47" t="s">
        <v>654</v>
      </c>
    </row>
    <row r="25" spans="1:4" ht="51.6" thickBot="1" x14ac:dyDescent="0.35">
      <c r="A25" s="49" t="s">
        <v>80</v>
      </c>
      <c r="B25" s="50">
        <v>0.33611111111111108</v>
      </c>
      <c r="C25" s="49" t="s">
        <v>512</v>
      </c>
      <c r="D25" s="49" t="s">
        <v>655</v>
      </c>
    </row>
    <row r="26" spans="1:4" ht="51.6" thickBot="1" x14ac:dyDescent="0.35">
      <c r="A26" s="47" t="s">
        <v>83</v>
      </c>
      <c r="B26" s="48">
        <v>0.35000000000000003</v>
      </c>
      <c r="C26" s="47" t="s">
        <v>512</v>
      </c>
      <c r="D26" s="47" t="s">
        <v>656</v>
      </c>
    </row>
    <row r="27" spans="1:4" ht="61.8" thickBot="1" x14ac:dyDescent="0.35">
      <c r="A27" s="49" t="s">
        <v>85</v>
      </c>
      <c r="B27" s="50">
        <v>0.39861111111111108</v>
      </c>
      <c r="C27" s="49" t="s">
        <v>516</v>
      </c>
      <c r="D27" s="49" t="s">
        <v>657</v>
      </c>
    </row>
    <row r="28" spans="1:4" ht="61.8" thickBot="1" x14ac:dyDescent="0.35">
      <c r="A28" s="47" t="s">
        <v>88</v>
      </c>
      <c r="B28" s="48">
        <v>0.42638888888888887</v>
      </c>
      <c r="C28" s="47" t="s">
        <v>516</v>
      </c>
      <c r="D28" s="47" t="s">
        <v>658</v>
      </c>
    </row>
    <row r="29" spans="1:4" ht="41.4" thickBot="1" x14ac:dyDescent="0.35">
      <c r="A29" s="49" t="s">
        <v>89</v>
      </c>
      <c r="B29" s="50">
        <v>0.41250000000000003</v>
      </c>
      <c r="C29" s="49" t="s">
        <v>516</v>
      </c>
      <c r="D29" s="49" t="s">
        <v>659</v>
      </c>
    </row>
    <row r="30" spans="1:4" ht="31.2" thickBot="1" x14ac:dyDescent="0.35">
      <c r="A30" s="47" t="s">
        <v>90</v>
      </c>
      <c r="B30" s="48">
        <v>0.41250000000000003</v>
      </c>
      <c r="C30" s="47" t="s">
        <v>512</v>
      </c>
      <c r="D30" s="47" t="s">
        <v>660</v>
      </c>
    </row>
    <row r="31" spans="1:4" ht="31.2" thickBot="1" x14ac:dyDescent="0.35">
      <c r="A31" s="49" t="s">
        <v>95</v>
      </c>
      <c r="B31" s="50">
        <v>0.43333333333333335</v>
      </c>
      <c r="C31" s="49" t="s">
        <v>516</v>
      </c>
      <c r="D31" s="49" t="s">
        <v>661</v>
      </c>
    </row>
    <row r="32" spans="1:4" ht="61.8" thickBot="1" x14ac:dyDescent="0.35">
      <c r="A32" s="47" t="s">
        <v>97</v>
      </c>
      <c r="B32" s="48">
        <v>0.35694444444444445</v>
      </c>
      <c r="C32" s="47" t="s">
        <v>512</v>
      </c>
      <c r="D32" s="47" t="s">
        <v>662</v>
      </c>
    </row>
    <row r="33" spans="1:4" ht="61.8" thickBot="1" x14ac:dyDescent="0.35">
      <c r="A33" s="49" t="s">
        <v>99</v>
      </c>
      <c r="B33" s="50">
        <v>0.39166666666666666</v>
      </c>
      <c r="C33" s="49" t="s">
        <v>512</v>
      </c>
      <c r="D33" s="49" t="s">
        <v>663</v>
      </c>
    </row>
    <row r="34" spans="1:4" ht="51.6" thickBot="1" x14ac:dyDescent="0.35">
      <c r="A34" s="47" t="s">
        <v>102</v>
      </c>
      <c r="B34" s="48">
        <v>0.3430555555555555</v>
      </c>
      <c r="C34" s="47" t="s">
        <v>512</v>
      </c>
      <c r="D34" s="47" t="s">
        <v>664</v>
      </c>
    </row>
    <row r="35" spans="1:4" ht="61.8" thickBot="1" x14ac:dyDescent="0.35">
      <c r="A35" s="49" t="s">
        <v>105</v>
      </c>
      <c r="B35" s="50">
        <v>0.38472222222222219</v>
      </c>
      <c r="C35" s="49" t="s">
        <v>512</v>
      </c>
      <c r="D35" s="49" t="s">
        <v>665</v>
      </c>
    </row>
    <row r="36" spans="1:4" ht="61.8" thickBot="1" x14ac:dyDescent="0.35">
      <c r="A36" s="47" t="s">
        <v>106</v>
      </c>
      <c r="B36" s="48">
        <v>0.3430555555555555</v>
      </c>
      <c r="C36" s="47" t="s">
        <v>512</v>
      </c>
      <c r="D36" s="47" t="s">
        <v>666</v>
      </c>
    </row>
    <row r="37" spans="1:4" ht="51.6" thickBot="1" x14ac:dyDescent="0.35">
      <c r="A37" s="49" t="s">
        <v>110</v>
      </c>
      <c r="B37" s="50">
        <v>0.39166666666666666</v>
      </c>
      <c r="C37" s="49" t="s">
        <v>516</v>
      </c>
      <c r="D37" s="49" t="s">
        <v>667</v>
      </c>
    </row>
    <row r="38" spans="1:4" ht="51.6" thickBot="1" x14ac:dyDescent="0.35">
      <c r="A38" s="47" t="s">
        <v>114</v>
      </c>
      <c r="B38" s="48">
        <v>0.35694444444444445</v>
      </c>
      <c r="C38" s="47" t="s">
        <v>512</v>
      </c>
      <c r="D38" s="47" t="s">
        <v>668</v>
      </c>
    </row>
    <row r="39" spans="1:4" ht="61.8" thickBot="1" x14ac:dyDescent="0.35">
      <c r="A39" s="49" t="s">
        <v>117</v>
      </c>
      <c r="B39" s="50">
        <v>0.37777777777777777</v>
      </c>
      <c r="C39" s="49" t="s">
        <v>516</v>
      </c>
      <c r="D39" s="49" t="s">
        <v>669</v>
      </c>
    </row>
    <row r="40" spans="1:4" ht="61.8" thickBot="1" x14ac:dyDescent="0.35">
      <c r="A40" s="47" t="s">
        <v>119</v>
      </c>
      <c r="B40" s="48">
        <v>0.4055555555555555</v>
      </c>
      <c r="C40" s="47" t="s">
        <v>516</v>
      </c>
      <c r="D40" s="47" t="s">
        <v>670</v>
      </c>
    </row>
    <row r="41" spans="1:4" ht="21" thickBot="1" x14ac:dyDescent="0.35">
      <c r="A41" s="49" t="s">
        <v>235</v>
      </c>
      <c r="B41" s="50">
        <v>0.36388888888888887</v>
      </c>
      <c r="C41" s="49" t="s">
        <v>512</v>
      </c>
      <c r="D41" s="49" t="s">
        <v>210</v>
      </c>
    </row>
    <row r="42" spans="1:4" ht="41.4" thickBot="1" x14ac:dyDescent="0.35">
      <c r="A42" s="47" t="s">
        <v>127</v>
      </c>
      <c r="B42" s="48">
        <v>0.32916666666666666</v>
      </c>
      <c r="C42" s="47" t="s">
        <v>512</v>
      </c>
      <c r="D42" s="47" t="s">
        <v>671</v>
      </c>
    </row>
    <row r="43" spans="1:4" ht="61.8" thickBot="1" x14ac:dyDescent="0.35">
      <c r="A43" s="49" t="s">
        <v>130</v>
      </c>
      <c r="B43" s="50">
        <v>0.39861111111111108</v>
      </c>
      <c r="C43" s="49" t="s">
        <v>512</v>
      </c>
      <c r="D43" s="49" t="s">
        <v>672</v>
      </c>
    </row>
    <row r="44" spans="1:4" ht="41.4" thickBot="1" x14ac:dyDescent="0.35">
      <c r="A44" s="47" t="s">
        <v>133</v>
      </c>
      <c r="B44" s="48">
        <v>0.44027777777777777</v>
      </c>
      <c r="C44" s="47" t="s">
        <v>516</v>
      </c>
      <c r="D44" s="47" t="s">
        <v>673</v>
      </c>
    </row>
    <row r="45" spans="1:4" ht="61.8" thickBot="1" x14ac:dyDescent="0.35">
      <c r="A45" s="49" t="s">
        <v>136</v>
      </c>
      <c r="B45" s="50">
        <v>0.37083333333333335</v>
      </c>
      <c r="C45" s="49" t="s">
        <v>512</v>
      </c>
      <c r="D45" s="49" t="s">
        <v>674</v>
      </c>
    </row>
    <row r="46" spans="1:4" ht="51.6" thickBot="1" x14ac:dyDescent="0.35">
      <c r="A46" s="47" t="s">
        <v>138</v>
      </c>
      <c r="B46" s="48">
        <v>0.3430555555555555</v>
      </c>
      <c r="C46" s="47" t="s">
        <v>512</v>
      </c>
      <c r="D46" s="47" t="s">
        <v>675</v>
      </c>
    </row>
    <row r="47" spans="1:4" ht="41.4" thickBot="1" x14ac:dyDescent="0.35">
      <c r="A47" s="49" t="s">
        <v>141</v>
      </c>
      <c r="B47" s="50">
        <v>0.38472222222222219</v>
      </c>
      <c r="C47" s="49" t="s">
        <v>512</v>
      </c>
      <c r="D47" s="49" t="s">
        <v>676</v>
      </c>
    </row>
    <row r="48" spans="1:4" ht="51.6" thickBot="1" x14ac:dyDescent="0.35">
      <c r="A48" s="47" t="s">
        <v>143</v>
      </c>
      <c r="B48" s="48">
        <v>0.42638888888888887</v>
      </c>
      <c r="C48" s="47" t="s">
        <v>516</v>
      </c>
      <c r="D48" s="47" t="s">
        <v>677</v>
      </c>
    </row>
    <row r="49" spans="1:4" ht="61.8" thickBot="1" x14ac:dyDescent="0.35">
      <c r="A49" s="49" t="s">
        <v>145</v>
      </c>
      <c r="B49" s="50">
        <v>0.4055555555555555</v>
      </c>
      <c r="C49" s="49" t="s">
        <v>512</v>
      </c>
      <c r="D49" s="49" t="s">
        <v>678</v>
      </c>
    </row>
    <row r="50" spans="1:4" ht="61.8" thickBot="1" x14ac:dyDescent="0.35">
      <c r="A50" s="47" t="s">
        <v>152</v>
      </c>
      <c r="B50" s="48">
        <v>0.37083333333333335</v>
      </c>
      <c r="C50" s="47" t="s">
        <v>512</v>
      </c>
      <c r="D50" s="47" t="s">
        <v>679</v>
      </c>
    </row>
    <row r="51" spans="1:4" ht="41.4" thickBot="1" x14ac:dyDescent="0.35">
      <c r="A51" s="49" t="s">
        <v>155</v>
      </c>
      <c r="B51" s="50">
        <v>0.41250000000000003</v>
      </c>
      <c r="C51" s="49" t="s">
        <v>516</v>
      </c>
      <c r="D51" s="49" t="s">
        <v>680</v>
      </c>
    </row>
    <row r="52" spans="1:4" ht="51.6" thickBot="1" x14ac:dyDescent="0.35">
      <c r="A52" s="47" t="s">
        <v>162</v>
      </c>
      <c r="B52" s="48">
        <v>0.32916666666666666</v>
      </c>
      <c r="C52" s="47" t="s">
        <v>516</v>
      </c>
      <c r="D52" s="47" t="s">
        <v>681</v>
      </c>
    </row>
    <row r="53" spans="1:4" ht="51.6" thickBot="1" x14ac:dyDescent="0.35">
      <c r="A53" s="49" t="s">
        <v>167</v>
      </c>
      <c r="B53" s="50">
        <v>0.39166666666666666</v>
      </c>
      <c r="C53" s="49" t="s">
        <v>512</v>
      </c>
      <c r="D53" s="49" t="s">
        <v>682</v>
      </c>
    </row>
    <row r="54" spans="1:4" ht="41.4" thickBot="1" x14ac:dyDescent="0.35">
      <c r="A54" s="47" t="s">
        <v>171</v>
      </c>
      <c r="B54" s="48">
        <v>0.41250000000000003</v>
      </c>
      <c r="C54" s="47" t="s">
        <v>516</v>
      </c>
      <c r="D54" s="47" t="s">
        <v>683</v>
      </c>
    </row>
    <row r="55" spans="1:4" ht="61.8" thickBot="1" x14ac:dyDescent="0.35">
      <c r="A55" s="49" t="s">
        <v>178</v>
      </c>
      <c r="B55" s="50">
        <v>0.39861111111111108</v>
      </c>
      <c r="C55" s="49" t="s">
        <v>512</v>
      </c>
      <c r="D55" s="49" t="s">
        <v>684</v>
      </c>
    </row>
    <row r="56" spans="1:4" ht="51.6" thickBot="1" x14ac:dyDescent="0.35">
      <c r="A56" s="47" t="s">
        <v>185</v>
      </c>
      <c r="B56" s="48">
        <v>0.35694444444444445</v>
      </c>
      <c r="C56" s="47" t="s">
        <v>512</v>
      </c>
      <c r="D56" s="47" t="s">
        <v>685</v>
      </c>
    </row>
    <row r="57" spans="1:4" ht="51.6" thickBot="1" x14ac:dyDescent="0.35">
      <c r="A57" s="49" t="s">
        <v>190</v>
      </c>
      <c r="B57" s="50">
        <v>0.32916666666666666</v>
      </c>
      <c r="C57" s="49" t="s">
        <v>512</v>
      </c>
      <c r="D57" s="49" t="s">
        <v>686</v>
      </c>
    </row>
    <row r="58" spans="1:4" ht="51.6" thickBot="1" x14ac:dyDescent="0.35">
      <c r="A58" s="47" t="s">
        <v>194</v>
      </c>
      <c r="B58" s="48">
        <v>0.37083333333333335</v>
      </c>
      <c r="C58" s="47" t="s">
        <v>512</v>
      </c>
      <c r="D58" s="47" t="s">
        <v>687</v>
      </c>
    </row>
    <row r="59" spans="1:4" ht="61.8" thickBot="1" x14ac:dyDescent="0.35">
      <c r="A59" s="49" t="s">
        <v>200</v>
      </c>
      <c r="B59" s="50">
        <v>0.35000000000000003</v>
      </c>
      <c r="C59" s="49" t="s">
        <v>512</v>
      </c>
      <c r="D59" s="49" t="s">
        <v>688</v>
      </c>
    </row>
    <row r="60" spans="1:4" ht="61.8" thickBot="1" x14ac:dyDescent="0.35">
      <c r="A60" s="47" t="s">
        <v>201</v>
      </c>
      <c r="B60" s="48">
        <v>0.37777777777777777</v>
      </c>
      <c r="C60" s="47" t="s">
        <v>512</v>
      </c>
      <c r="D60" s="47" t="s">
        <v>689</v>
      </c>
    </row>
    <row r="61" spans="1:4" ht="41.4" thickBot="1" x14ac:dyDescent="0.35">
      <c r="A61" s="49" t="s">
        <v>202</v>
      </c>
      <c r="B61" s="50">
        <v>0.32916666666666666</v>
      </c>
      <c r="C61" s="49" t="s">
        <v>512</v>
      </c>
      <c r="D61" s="49" t="s">
        <v>690</v>
      </c>
    </row>
    <row r="62" spans="1:4" ht="51.6" thickBot="1" x14ac:dyDescent="0.35">
      <c r="A62" s="47" t="s">
        <v>204</v>
      </c>
      <c r="B62" s="48">
        <v>0.41944444444444445</v>
      </c>
      <c r="C62" s="47" t="s">
        <v>512</v>
      </c>
      <c r="D62" s="47" t="s">
        <v>691</v>
      </c>
    </row>
    <row r="63" spans="1:4" ht="21" thickBot="1" x14ac:dyDescent="0.35">
      <c r="A63" s="49" t="s">
        <v>205</v>
      </c>
      <c r="B63" s="50">
        <v>0.43333333333333335</v>
      </c>
      <c r="C63" s="49" t="s">
        <v>516</v>
      </c>
      <c r="D63" s="49" t="s">
        <v>692</v>
      </c>
    </row>
    <row r="64" spans="1:4" ht="41.4" thickBot="1" x14ac:dyDescent="0.35">
      <c r="A64" s="47" t="s">
        <v>207</v>
      </c>
      <c r="B64" s="48">
        <v>0.44027777777777777</v>
      </c>
      <c r="C64" s="47" t="s">
        <v>512</v>
      </c>
      <c r="D64" s="47" t="s">
        <v>693</v>
      </c>
    </row>
    <row r="65" spans="1:4" ht="21" thickBot="1" x14ac:dyDescent="0.35">
      <c r="A65" s="51" t="s">
        <v>210</v>
      </c>
      <c r="B65" s="52">
        <v>0.36388888888888887</v>
      </c>
      <c r="C65" s="51" t="s">
        <v>512</v>
      </c>
      <c r="D65" s="51" t="s">
        <v>694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ABE70-E707-4C79-A47E-E19641E2EF1B}">
  <dimension ref="A1:F20"/>
  <sheetViews>
    <sheetView workbookViewId="0">
      <selection sqref="A1:B1"/>
    </sheetView>
    <sheetView workbookViewId="1">
      <selection sqref="A1:B1"/>
    </sheetView>
    <sheetView workbookViewId="2">
      <selection sqref="A1:B1"/>
    </sheetView>
  </sheetViews>
  <sheetFormatPr defaultRowHeight="14.4" x14ac:dyDescent="0.3"/>
  <sheetData>
    <row r="1" spans="1:6" x14ac:dyDescent="0.3">
      <c r="A1" s="102" t="s">
        <v>472</v>
      </c>
      <c r="B1" s="101"/>
      <c r="C1" s="40">
        <v>44415</v>
      </c>
      <c r="D1" s="42"/>
      <c r="E1" s="42"/>
      <c r="F1" s="42"/>
    </row>
    <row r="2" spans="1:6" x14ac:dyDescent="0.3">
      <c r="A2" s="36" t="s">
        <v>501</v>
      </c>
      <c r="B2" s="36" t="s">
        <v>502</v>
      </c>
      <c r="C2" s="36" t="s">
        <v>503</v>
      </c>
      <c r="D2" s="36" t="s">
        <v>504</v>
      </c>
      <c r="E2" s="36" t="s">
        <v>505</v>
      </c>
      <c r="F2" s="36" t="s">
        <v>506</v>
      </c>
    </row>
    <row r="3" spans="1:6" x14ac:dyDescent="0.3">
      <c r="A3" s="43">
        <v>0.33333333333333331</v>
      </c>
      <c r="B3" s="43">
        <v>0.33194444444444443</v>
      </c>
      <c r="C3" s="43">
        <v>0.50763888888888886</v>
      </c>
      <c r="D3" s="43">
        <f>C3-B3</f>
        <v>0.17569444444444443</v>
      </c>
      <c r="E3" s="44" t="s">
        <v>507</v>
      </c>
      <c r="F3" s="37">
        <f>COUNT(A4:A$21)*4</f>
        <v>68</v>
      </c>
    </row>
    <row r="4" spans="1:6" x14ac:dyDescent="0.3">
      <c r="A4" s="43">
        <v>0.34027777777777773</v>
      </c>
      <c r="B4" s="43">
        <v>0.33888888888888885</v>
      </c>
      <c r="C4" s="43">
        <v>0.51458333333333328</v>
      </c>
      <c r="D4" s="43">
        <f t="shared" ref="D4:D20" si="0">C4-B4</f>
        <v>0.17569444444444443</v>
      </c>
      <c r="E4" s="43">
        <f>C4-C3</f>
        <v>6.9444444444444198E-3</v>
      </c>
      <c r="F4" s="37">
        <f>COUNT(A5:A$21)*4</f>
        <v>64</v>
      </c>
    </row>
    <row r="5" spans="1:6" x14ac:dyDescent="0.3">
      <c r="A5" s="43">
        <v>0.34722222222222227</v>
      </c>
      <c r="B5" s="43">
        <v>0.34583333333333338</v>
      </c>
      <c r="C5" s="43">
        <v>0.51944444444444449</v>
      </c>
      <c r="D5" s="43">
        <f t="shared" si="0"/>
        <v>0.1736111111111111</v>
      </c>
      <c r="E5" s="43">
        <f t="shared" ref="E5:E20" si="1">C5-C4</f>
        <v>4.8611111111112049E-3</v>
      </c>
      <c r="F5" s="37">
        <f>COUNT(A6:A$21)*4</f>
        <v>60</v>
      </c>
    </row>
    <row r="6" spans="1:6" x14ac:dyDescent="0.3">
      <c r="A6" s="43">
        <v>0.35416666666666669</v>
      </c>
      <c r="B6" s="43">
        <v>0.3527777777777778</v>
      </c>
      <c r="C6" s="43">
        <v>0.52569444444444446</v>
      </c>
      <c r="D6" s="43">
        <f t="shared" si="0"/>
        <v>0.17291666666666666</v>
      </c>
      <c r="E6" s="43">
        <f t="shared" si="1"/>
        <v>6.2499999999999778E-3</v>
      </c>
      <c r="F6" s="37">
        <f>COUNT(A7:A$21)*4</f>
        <v>56</v>
      </c>
    </row>
    <row r="7" spans="1:6" x14ac:dyDescent="0.3">
      <c r="A7" s="43">
        <v>0.3611111111111111</v>
      </c>
      <c r="B7" s="43">
        <v>0.35972222222222222</v>
      </c>
      <c r="C7" s="43">
        <v>0.53402777777777777</v>
      </c>
      <c r="D7" s="43">
        <f t="shared" si="0"/>
        <v>0.17430555555555555</v>
      </c>
      <c r="E7" s="43">
        <f t="shared" si="1"/>
        <v>8.3333333333333037E-3</v>
      </c>
      <c r="F7" s="37">
        <f>COUNT(A8:A$21)*4</f>
        <v>52</v>
      </c>
    </row>
    <row r="8" spans="1:6" x14ac:dyDescent="0.3">
      <c r="A8" s="43">
        <v>0.36805555555555558</v>
      </c>
      <c r="B8" s="43">
        <v>0.36736111111111108</v>
      </c>
      <c r="C8" s="43">
        <v>0.54166666666666663</v>
      </c>
      <c r="D8" s="43">
        <f t="shared" si="0"/>
        <v>0.17430555555555555</v>
      </c>
      <c r="E8" s="43">
        <f t="shared" si="1"/>
        <v>7.6388888888888618E-3</v>
      </c>
      <c r="F8" s="37">
        <f>COUNT(A9:A$21)*4</f>
        <v>48</v>
      </c>
    </row>
    <row r="9" spans="1:6" x14ac:dyDescent="0.3">
      <c r="A9" s="43">
        <v>0.375</v>
      </c>
      <c r="B9" s="43">
        <v>0.3743055555555555</v>
      </c>
      <c r="C9" s="43">
        <v>0.55069444444444449</v>
      </c>
      <c r="D9" s="43">
        <f t="shared" si="0"/>
        <v>0.17638888888888898</v>
      </c>
      <c r="E9" s="43">
        <f t="shared" si="1"/>
        <v>9.0277777777778567E-3</v>
      </c>
      <c r="F9" s="37">
        <f>COUNT(A10:A$21)*4</f>
        <v>44</v>
      </c>
    </row>
    <row r="10" spans="1:6" x14ac:dyDescent="0.3">
      <c r="A10" s="43">
        <v>0.38194444444444442</v>
      </c>
      <c r="B10" s="43">
        <v>0.38125000000000003</v>
      </c>
      <c r="C10" s="43">
        <v>0.55833333333333335</v>
      </c>
      <c r="D10" s="43">
        <f t="shared" si="0"/>
        <v>0.17708333333333331</v>
      </c>
      <c r="E10" s="43">
        <f t="shared" si="1"/>
        <v>7.6388888888888618E-3</v>
      </c>
      <c r="F10" s="37">
        <f>COUNT(A11:A$21)*4</f>
        <v>40</v>
      </c>
    </row>
    <row r="11" spans="1:6" x14ac:dyDescent="0.3">
      <c r="A11" s="43">
        <v>0.3888888888888889</v>
      </c>
      <c r="B11" s="43">
        <v>0.38958333333333334</v>
      </c>
      <c r="C11" s="43">
        <v>0.5625</v>
      </c>
      <c r="D11" s="43">
        <f t="shared" si="0"/>
        <v>0.17291666666666666</v>
      </c>
      <c r="E11" s="43">
        <f t="shared" si="1"/>
        <v>4.1666666666666519E-3</v>
      </c>
      <c r="F11" s="37">
        <f>COUNT(A12:A$21)*4</f>
        <v>36</v>
      </c>
    </row>
    <row r="12" spans="1:6" x14ac:dyDescent="0.3">
      <c r="A12" s="43">
        <v>0.39583333333333331</v>
      </c>
      <c r="B12" s="43">
        <v>0.39583333333333331</v>
      </c>
      <c r="C12" s="43">
        <v>0.56736111111111109</v>
      </c>
      <c r="D12" s="43">
        <f t="shared" si="0"/>
        <v>0.17152777777777778</v>
      </c>
      <c r="E12" s="43">
        <f t="shared" si="1"/>
        <v>4.8611111111110938E-3</v>
      </c>
      <c r="F12" s="37">
        <f>COUNT(A13:A$21)*4</f>
        <v>32</v>
      </c>
    </row>
    <row r="13" spans="1:6" x14ac:dyDescent="0.3">
      <c r="A13" s="43">
        <v>0.40277777777777773</v>
      </c>
      <c r="B13" s="43">
        <v>0.40277777777777773</v>
      </c>
      <c r="C13" s="43">
        <v>0.57361111111111118</v>
      </c>
      <c r="D13" s="43">
        <f t="shared" si="0"/>
        <v>0.17083333333333345</v>
      </c>
      <c r="E13" s="43">
        <f t="shared" si="1"/>
        <v>6.2500000000000888E-3</v>
      </c>
      <c r="F13" s="37">
        <f>COUNT(A14:A$21)*4</f>
        <v>28</v>
      </c>
    </row>
    <row r="14" spans="1:6" x14ac:dyDescent="0.3">
      <c r="A14" s="43">
        <v>0.40972222222222227</v>
      </c>
      <c r="B14" s="43">
        <v>0.40902777777777777</v>
      </c>
      <c r="C14" s="43">
        <v>0.58124999999999993</v>
      </c>
      <c r="D14" s="43">
        <f t="shared" si="0"/>
        <v>0.17222222222222217</v>
      </c>
      <c r="E14" s="43">
        <f t="shared" si="1"/>
        <v>7.6388888888887507E-3</v>
      </c>
      <c r="F14" s="37">
        <f>COUNT(A15:A$21)*4</f>
        <v>24</v>
      </c>
    </row>
    <row r="15" spans="1:6" x14ac:dyDescent="0.3">
      <c r="A15" s="43">
        <v>0.41666666666666669</v>
      </c>
      <c r="B15" s="43">
        <v>0.41666666666666669</v>
      </c>
      <c r="C15" s="43">
        <v>0.59305555555555556</v>
      </c>
      <c r="D15" s="43">
        <f t="shared" si="0"/>
        <v>0.17638888888888887</v>
      </c>
      <c r="E15" s="43">
        <f t="shared" si="1"/>
        <v>1.1805555555555625E-2</v>
      </c>
      <c r="F15" s="37">
        <f>COUNT(A16:A$21)*4</f>
        <v>20</v>
      </c>
    </row>
    <row r="16" spans="1:6" x14ac:dyDescent="0.3">
      <c r="A16" s="43">
        <v>0.4236111111111111</v>
      </c>
      <c r="B16" s="43">
        <v>0.42291666666666666</v>
      </c>
      <c r="C16" s="43">
        <v>0.59930555555555554</v>
      </c>
      <c r="D16" s="43">
        <f t="shared" si="0"/>
        <v>0.17638888888888887</v>
      </c>
      <c r="E16" s="43">
        <f t="shared" si="1"/>
        <v>6.2499999999999778E-3</v>
      </c>
      <c r="F16" s="37">
        <f>COUNT(A17:A$21)*4</f>
        <v>16</v>
      </c>
    </row>
    <row r="17" spans="1:6" x14ac:dyDescent="0.3">
      <c r="A17" s="43">
        <v>0.43055555555555558</v>
      </c>
      <c r="B17" s="43">
        <v>0.43194444444444446</v>
      </c>
      <c r="C17" s="43">
        <v>0.60972222222222217</v>
      </c>
      <c r="D17" s="43">
        <f t="shared" si="0"/>
        <v>0.1777777777777777</v>
      </c>
      <c r="E17" s="43">
        <f t="shared" si="1"/>
        <v>1.041666666666663E-2</v>
      </c>
      <c r="F17" s="37">
        <f>COUNT(A18:A$21)*4</f>
        <v>12</v>
      </c>
    </row>
    <row r="18" spans="1:6" x14ac:dyDescent="0.3">
      <c r="A18" s="43">
        <v>0.4375</v>
      </c>
      <c r="B18" s="43">
        <v>0.43958333333333338</v>
      </c>
      <c r="C18" s="43">
        <v>0.62361111111111112</v>
      </c>
      <c r="D18" s="43">
        <f t="shared" si="0"/>
        <v>0.18402777777777773</v>
      </c>
      <c r="E18" s="43">
        <f t="shared" si="1"/>
        <v>1.3888888888888951E-2</v>
      </c>
      <c r="F18" s="37">
        <f>COUNT(A19:A$21)*4</f>
        <v>8</v>
      </c>
    </row>
    <row r="19" spans="1:6" x14ac:dyDescent="0.3">
      <c r="A19" s="43">
        <v>0.44444444444444442</v>
      </c>
      <c r="B19" s="43">
        <v>0.45</v>
      </c>
      <c r="C19" s="43">
        <v>0.64027777777777783</v>
      </c>
      <c r="D19" s="43">
        <f t="shared" si="0"/>
        <v>0.19027777777777782</v>
      </c>
      <c r="E19" s="43">
        <f t="shared" si="1"/>
        <v>1.6666666666666718E-2</v>
      </c>
      <c r="F19" s="37">
        <f>COUNT(A20:A$21)*4</f>
        <v>4</v>
      </c>
    </row>
    <row r="20" spans="1:6" x14ac:dyDescent="0.3">
      <c r="A20" s="43">
        <v>0.4513888888888889</v>
      </c>
      <c r="B20" s="43">
        <v>0.45555555555555555</v>
      </c>
      <c r="C20" s="43">
        <v>0.64374999999999993</v>
      </c>
      <c r="D20" s="43">
        <f t="shared" si="0"/>
        <v>0.18819444444444439</v>
      </c>
      <c r="E20" s="43">
        <f t="shared" si="1"/>
        <v>3.4722222222220989E-3</v>
      </c>
      <c r="F20" s="37">
        <f>COUNT(A21:A$21)*4</f>
        <v>0</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8700D-EFAE-4CC3-9663-6974A45E2560}">
  <dimension ref="A1:E69"/>
  <sheetViews>
    <sheetView workbookViewId="0"/>
    <sheetView workbookViewId="1"/>
    <sheetView workbookViewId="2"/>
  </sheetViews>
  <sheetFormatPr defaultRowHeight="14.4" x14ac:dyDescent="0.3"/>
  <cols>
    <col min="1" max="1" width="16.21875" customWidth="1"/>
    <col min="4" max="4" width="40.109375" customWidth="1"/>
  </cols>
  <sheetData>
    <row r="1" spans="1:5" ht="15" thickBot="1" x14ac:dyDescent="0.35">
      <c r="A1" s="46" t="s">
        <v>508</v>
      </c>
      <c r="B1" s="46" t="s">
        <v>509</v>
      </c>
      <c r="C1" s="46" t="s">
        <v>510</v>
      </c>
      <c r="D1" s="46" t="s">
        <v>511</v>
      </c>
      <c r="E1" s="53" t="s">
        <v>695</v>
      </c>
    </row>
    <row r="2" spans="1:5" ht="15" thickBot="1" x14ac:dyDescent="0.35">
      <c r="A2" s="47" t="s">
        <v>3</v>
      </c>
      <c r="B2" s="48">
        <v>0.44444444444444442</v>
      </c>
      <c r="C2" s="47" t="s">
        <v>516</v>
      </c>
      <c r="D2" s="47" t="s">
        <v>696</v>
      </c>
      <c r="E2" t="b">
        <f>NOT(ISERROR(VLOOKUP(A2,Table2[Name],1,FALSE)))</f>
        <v>1</v>
      </c>
    </row>
    <row r="3" spans="1:5" ht="15" thickBot="1" x14ac:dyDescent="0.35">
      <c r="A3" s="49" t="s">
        <v>5</v>
      </c>
      <c r="B3" s="50">
        <v>0.34027777777777773</v>
      </c>
      <c r="C3" s="49" t="s">
        <v>516</v>
      </c>
      <c r="D3" s="49" t="s">
        <v>697</v>
      </c>
      <c r="E3" t="b">
        <f>NOT(ISERROR(VLOOKUP(A3,Table2[Name],1,FALSE)))</f>
        <v>1</v>
      </c>
    </row>
    <row r="4" spans="1:5" ht="15" thickBot="1" x14ac:dyDescent="0.35">
      <c r="A4" s="47" t="s">
        <v>9</v>
      </c>
      <c r="B4" s="48">
        <v>0.38194444444444442</v>
      </c>
      <c r="C4" s="47" t="s">
        <v>516</v>
      </c>
      <c r="D4" s="47" t="s">
        <v>698</v>
      </c>
      <c r="E4" t="b">
        <f>NOT(ISERROR(VLOOKUP(A4,Table2[Name],1,FALSE)))</f>
        <v>1</v>
      </c>
    </row>
    <row r="5" spans="1:5" ht="15" thickBot="1" x14ac:dyDescent="0.35">
      <c r="A5" s="47" t="s">
        <v>15</v>
      </c>
      <c r="B5" s="48">
        <v>0.40972222222222227</v>
      </c>
      <c r="C5" s="47" t="s">
        <v>516</v>
      </c>
      <c r="D5" s="47" t="s">
        <v>699</v>
      </c>
      <c r="E5" t="b">
        <f>NOT(ISERROR(VLOOKUP(A5,Table2[Name],1,FALSE)))</f>
        <v>1</v>
      </c>
    </row>
    <row r="6" spans="1:5" ht="15" thickBot="1" x14ac:dyDescent="0.35">
      <c r="A6" s="49" t="s">
        <v>17</v>
      </c>
      <c r="B6" s="50">
        <v>0.375</v>
      </c>
      <c r="C6" s="49" t="s">
        <v>516</v>
      </c>
      <c r="D6" s="49" t="s">
        <v>700</v>
      </c>
      <c r="E6" t="b">
        <f>NOT(ISERROR(VLOOKUP(A6,Table2[Name],1,FALSE)))</f>
        <v>1</v>
      </c>
    </row>
    <row r="7" spans="1:5" ht="15" thickBot="1" x14ac:dyDescent="0.35">
      <c r="A7" s="47" t="s">
        <v>21</v>
      </c>
      <c r="B7" s="48">
        <v>0.38194444444444442</v>
      </c>
      <c r="C7" s="47" t="s">
        <v>516</v>
      </c>
      <c r="D7" s="47" t="s">
        <v>701</v>
      </c>
      <c r="E7" t="b">
        <f>NOT(ISERROR(VLOOKUP(A7,Table2[Name],1,FALSE)))</f>
        <v>1</v>
      </c>
    </row>
    <row r="8" spans="1:5" ht="15" thickBot="1" x14ac:dyDescent="0.35">
      <c r="A8" s="49" t="s">
        <v>25</v>
      </c>
      <c r="B8" s="50">
        <v>0.40277777777777773</v>
      </c>
      <c r="C8" s="49" t="s">
        <v>516</v>
      </c>
      <c r="D8" s="49" t="s">
        <v>536</v>
      </c>
      <c r="E8" t="b">
        <f>NOT(ISERROR(VLOOKUP(A8,Table2[Name],1,FALSE)))</f>
        <v>1</v>
      </c>
    </row>
    <row r="9" spans="1:5" ht="15" thickBot="1" x14ac:dyDescent="0.35">
      <c r="A9" s="47" t="s">
        <v>27</v>
      </c>
      <c r="B9" s="48">
        <v>0.375</v>
      </c>
      <c r="C9" s="47" t="s">
        <v>516</v>
      </c>
      <c r="D9" s="47" t="s">
        <v>702</v>
      </c>
      <c r="E9" t="b">
        <f>NOT(ISERROR(VLOOKUP(A9,Table2[Name],1,FALSE)))</f>
        <v>1</v>
      </c>
    </row>
    <row r="10" spans="1:5" ht="15" thickBot="1" x14ac:dyDescent="0.35">
      <c r="A10" s="49" t="s">
        <v>44</v>
      </c>
      <c r="B10" s="50">
        <v>0.36805555555555558</v>
      </c>
      <c r="C10" s="49" t="s">
        <v>516</v>
      </c>
      <c r="D10" s="49" t="s">
        <v>703</v>
      </c>
      <c r="E10" t="b">
        <f>NOT(ISERROR(VLOOKUP(A10,Table2[Name],1,FALSE)))</f>
        <v>1</v>
      </c>
    </row>
    <row r="11" spans="1:5" ht="15" thickBot="1" x14ac:dyDescent="0.35">
      <c r="A11" s="47" t="s">
        <v>474</v>
      </c>
      <c r="B11" s="48">
        <v>0.4513888888888889</v>
      </c>
      <c r="C11" s="47" t="s">
        <v>516</v>
      </c>
      <c r="D11" s="47" t="s">
        <v>478</v>
      </c>
      <c r="E11" t="b">
        <f>NOT(ISERROR(VLOOKUP(A11,Table2[Name],1,FALSE)))</f>
        <v>1</v>
      </c>
    </row>
    <row r="12" spans="1:5" ht="15" thickBot="1" x14ac:dyDescent="0.35">
      <c r="A12" s="49" t="s">
        <v>46</v>
      </c>
      <c r="B12" s="50">
        <v>0.43055555555555558</v>
      </c>
      <c r="C12" s="49" t="s">
        <v>516</v>
      </c>
      <c r="D12" s="49" t="s">
        <v>704</v>
      </c>
      <c r="E12" t="b">
        <f>NOT(ISERROR(VLOOKUP(A12,Table2[Name],1,FALSE)))</f>
        <v>1</v>
      </c>
    </row>
    <row r="13" spans="1:5" ht="15" thickBot="1" x14ac:dyDescent="0.35">
      <c r="A13" s="47" t="s">
        <v>47</v>
      </c>
      <c r="B13" s="48">
        <v>0.43055555555555558</v>
      </c>
      <c r="C13" s="47" t="s">
        <v>516</v>
      </c>
      <c r="D13" s="47" t="s">
        <v>705</v>
      </c>
      <c r="E13" t="b">
        <f>NOT(ISERROR(VLOOKUP(A13,Table2[Name],1,FALSE)))</f>
        <v>1</v>
      </c>
    </row>
    <row r="14" spans="1:5" ht="15" thickBot="1" x14ac:dyDescent="0.35">
      <c r="A14" s="49" t="s">
        <v>48</v>
      </c>
      <c r="B14" s="50">
        <v>0.34027777777777773</v>
      </c>
      <c r="C14" s="49" t="s">
        <v>516</v>
      </c>
      <c r="D14" s="49" t="s">
        <v>706</v>
      </c>
      <c r="E14" t="b">
        <f>NOT(ISERROR(VLOOKUP(A14,Table2[Name],1,FALSE)))</f>
        <v>1</v>
      </c>
    </row>
    <row r="15" spans="1:5" ht="15" thickBot="1" x14ac:dyDescent="0.35">
      <c r="A15" s="47" t="s">
        <v>475</v>
      </c>
      <c r="B15" s="48">
        <v>0.39583333333333331</v>
      </c>
      <c r="C15" s="47" t="s">
        <v>516</v>
      </c>
      <c r="D15" s="47" t="s">
        <v>707</v>
      </c>
      <c r="E15" t="b">
        <f>NOT(ISERROR(VLOOKUP(A15,Table2[Name],1,FALSE)))</f>
        <v>1</v>
      </c>
    </row>
    <row r="16" spans="1:5" ht="15" thickBot="1" x14ac:dyDescent="0.35">
      <c r="A16" s="49" t="s">
        <v>50</v>
      </c>
      <c r="B16" s="50">
        <v>0.39583333333333331</v>
      </c>
      <c r="C16" s="49" t="s">
        <v>516</v>
      </c>
      <c r="D16" s="49" t="s">
        <v>708</v>
      </c>
      <c r="E16" t="b">
        <f>NOT(ISERROR(VLOOKUP(A16,Table2[Name],1,FALSE)))</f>
        <v>1</v>
      </c>
    </row>
    <row r="17" spans="1:5" ht="15" thickBot="1" x14ac:dyDescent="0.35">
      <c r="A17" s="47" t="s">
        <v>476</v>
      </c>
      <c r="B17" s="48">
        <v>0.40972222222222227</v>
      </c>
      <c r="C17" s="47" t="s">
        <v>516</v>
      </c>
      <c r="D17" s="47" t="s">
        <v>709</v>
      </c>
      <c r="E17" t="b">
        <f>NOT(ISERROR(VLOOKUP(A17,Table2[Name],1,FALSE)))</f>
        <v>1</v>
      </c>
    </row>
    <row r="18" spans="1:5" ht="15" thickBot="1" x14ac:dyDescent="0.35">
      <c r="A18" s="49" t="s">
        <v>52</v>
      </c>
      <c r="B18" s="50">
        <v>0.44444444444444442</v>
      </c>
      <c r="C18" s="49" t="s">
        <v>516</v>
      </c>
      <c r="D18" s="49" t="s">
        <v>710</v>
      </c>
      <c r="E18" t="b">
        <f>NOT(ISERROR(VLOOKUP(A18,Table2[Name],1,FALSE)))</f>
        <v>1</v>
      </c>
    </row>
    <row r="19" spans="1:5" ht="15" thickBot="1" x14ac:dyDescent="0.35">
      <c r="A19" s="47" t="s">
        <v>57</v>
      </c>
      <c r="B19" s="48">
        <v>0.3611111111111111</v>
      </c>
      <c r="C19" s="47" t="s">
        <v>516</v>
      </c>
      <c r="D19" s="47" t="s">
        <v>711</v>
      </c>
      <c r="E19" t="b">
        <f>NOT(ISERROR(VLOOKUP(A19,Table2[Name],1,FALSE)))</f>
        <v>1</v>
      </c>
    </row>
    <row r="20" spans="1:5" ht="15" thickBot="1" x14ac:dyDescent="0.35">
      <c r="A20" s="49" t="s">
        <v>58</v>
      </c>
      <c r="B20" s="50">
        <v>0.4236111111111111</v>
      </c>
      <c r="C20" s="49" t="s">
        <v>516</v>
      </c>
      <c r="D20" s="49" t="s">
        <v>712</v>
      </c>
      <c r="E20" t="b">
        <f>NOT(ISERROR(VLOOKUP(A20,Table2[Name],1,FALSE)))</f>
        <v>1</v>
      </c>
    </row>
    <row r="21" spans="1:5" ht="15" thickBot="1" x14ac:dyDescent="0.35">
      <c r="A21" s="47" t="s">
        <v>59</v>
      </c>
      <c r="B21" s="48">
        <v>0.375</v>
      </c>
      <c r="C21" s="47" t="s">
        <v>516</v>
      </c>
      <c r="D21" s="47" t="s">
        <v>713</v>
      </c>
      <c r="E21" t="b">
        <f>NOT(ISERROR(VLOOKUP(A21,Table2[Name],1,FALSE)))</f>
        <v>1</v>
      </c>
    </row>
    <row r="22" spans="1:5" ht="15" thickBot="1" x14ac:dyDescent="0.35">
      <c r="A22" s="49" t="s">
        <v>65</v>
      </c>
      <c r="B22" s="50">
        <v>0.36805555555555558</v>
      </c>
      <c r="C22" s="49" t="s">
        <v>516</v>
      </c>
      <c r="D22" s="49" t="s">
        <v>714</v>
      </c>
      <c r="E22" t="b">
        <f>NOT(ISERROR(VLOOKUP(A22,Table2[Name],1,FALSE)))</f>
        <v>1</v>
      </c>
    </row>
    <row r="23" spans="1:5" ht="15" thickBot="1" x14ac:dyDescent="0.35">
      <c r="A23" s="47" t="s">
        <v>72</v>
      </c>
      <c r="B23" s="48">
        <v>0.34722222222222227</v>
      </c>
      <c r="C23" s="47" t="s">
        <v>516</v>
      </c>
      <c r="D23" s="47" t="s">
        <v>715</v>
      </c>
      <c r="E23" t="b">
        <f>NOT(ISERROR(VLOOKUP(A23,Table2[Name],1,FALSE)))</f>
        <v>1</v>
      </c>
    </row>
    <row r="24" spans="1:5" ht="15" thickBot="1" x14ac:dyDescent="0.35">
      <c r="A24" s="49" t="s">
        <v>75</v>
      </c>
      <c r="B24" s="50">
        <v>0.39583333333333331</v>
      </c>
      <c r="C24" s="49" t="s">
        <v>516</v>
      </c>
      <c r="D24" s="49" t="s">
        <v>716</v>
      </c>
      <c r="E24" t="b">
        <f>NOT(ISERROR(VLOOKUP(A24,Table2[Name],1,FALSE)))</f>
        <v>1</v>
      </c>
    </row>
    <row r="25" spans="1:5" ht="15" thickBot="1" x14ac:dyDescent="0.35">
      <c r="A25" s="47" t="s">
        <v>79</v>
      </c>
      <c r="B25" s="48">
        <v>0.44444444444444442</v>
      </c>
      <c r="C25" s="47" t="s">
        <v>516</v>
      </c>
      <c r="D25" s="47" t="s">
        <v>717</v>
      </c>
      <c r="E25" t="b">
        <f>NOT(ISERROR(VLOOKUP(A25,Table2[Name],1,FALSE)))</f>
        <v>1</v>
      </c>
    </row>
    <row r="26" spans="1:5" ht="15" thickBot="1" x14ac:dyDescent="0.35">
      <c r="A26" s="49" t="s">
        <v>85</v>
      </c>
      <c r="B26" s="50">
        <v>0.40277777777777773</v>
      </c>
      <c r="C26" s="49" t="s">
        <v>634</v>
      </c>
      <c r="D26" s="49" t="s">
        <v>657</v>
      </c>
      <c r="E26" t="b">
        <f>NOT(ISERROR(VLOOKUP(A26,Table2[Name],1,FALSE)))</f>
        <v>1</v>
      </c>
    </row>
    <row r="27" spans="1:5" ht="15" thickBot="1" x14ac:dyDescent="0.35">
      <c r="A27" s="47" t="s">
        <v>86</v>
      </c>
      <c r="B27" s="48">
        <v>0.34722222222222227</v>
      </c>
      <c r="C27" s="47" t="s">
        <v>516</v>
      </c>
      <c r="D27" s="47" t="s">
        <v>718</v>
      </c>
      <c r="E27" t="b">
        <f>NOT(ISERROR(VLOOKUP(A27,Table2[Name],1,FALSE)))</f>
        <v>1</v>
      </c>
    </row>
    <row r="28" spans="1:5" ht="15" thickBot="1" x14ac:dyDescent="0.35">
      <c r="A28" s="49" t="s">
        <v>88</v>
      </c>
      <c r="B28" s="50">
        <v>0.3888888888888889</v>
      </c>
      <c r="C28" s="49" t="s">
        <v>516</v>
      </c>
      <c r="D28" s="49" t="s">
        <v>719</v>
      </c>
      <c r="E28" t="b">
        <f>NOT(ISERROR(VLOOKUP(A28,Table2[Name],1,FALSE)))</f>
        <v>1</v>
      </c>
    </row>
    <row r="29" spans="1:5" ht="15" thickBot="1" x14ac:dyDescent="0.35">
      <c r="A29" s="47" t="s">
        <v>89</v>
      </c>
      <c r="B29" s="48">
        <v>0.4236111111111111</v>
      </c>
      <c r="C29" s="47" t="s">
        <v>516</v>
      </c>
      <c r="D29" s="47" t="s">
        <v>720</v>
      </c>
      <c r="E29" t="b">
        <f>NOT(ISERROR(VLOOKUP(A29,Table2[Name],1,FALSE)))</f>
        <v>1</v>
      </c>
    </row>
    <row r="30" spans="1:5" ht="15" thickBot="1" x14ac:dyDescent="0.35">
      <c r="A30" s="49" t="s">
        <v>90</v>
      </c>
      <c r="B30" s="50">
        <v>0.4236111111111111</v>
      </c>
      <c r="C30" s="49" t="s">
        <v>516</v>
      </c>
      <c r="D30" s="49" t="s">
        <v>721</v>
      </c>
      <c r="E30" t="b">
        <f>NOT(ISERROR(VLOOKUP(A30,Table2[Name],1,FALSE)))</f>
        <v>1</v>
      </c>
    </row>
    <row r="31" spans="1:5" ht="15" thickBot="1" x14ac:dyDescent="0.35">
      <c r="A31" s="47" t="s">
        <v>95</v>
      </c>
      <c r="B31" s="48">
        <v>0.3888888888888889</v>
      </c>
      <c r="C31" s="47" t="s">
        <v>516</v>
      </c>
      <c r="D31" s="47" t="s">
        <v>722</v>
      </c>
      <c r="E31" t="b">
        <f>NOT(ISERROR(VLOOKUP(A31,Table2[Name],1,FALSE)))</f>
        <v>1</v>
      </c>
    </row>
    <row r="32" spans="1:5" ht="15" thickBot="1" x14ac:dyDescent="0.35">
      <c r="A32" s="49" t="s">
        <v>96</v>
      </c>
      <c r="B32" s="50">
        <v>0.43055555555555558</v>
      </c>
      <c r="C32" s="49" t="s">
        <v>516</v>
      </c>
      <c r="D32" s="49" t="s">
        <v>723</v>
      </c>
      <c r="E32" t="b">
        <f>NOT(ISERROR(VLOOKUP(A32,Table2[Name],1,FALSE)))</f>
        <v>1</v>
      </c>
    </row>
    <row r="33" spans="1:5" ht="15" thickBot="1" x14ac:dyDescent="0.35">
      <c r="A33" s="47" t="s">
        <v>97</v>
      </c>
      <c r="B33" s="48">
        <v>0.34027777777777773</v>
      </c>
      <c r="C33" s="47" t="s">
        <v>516</v>
      </c>
      <c r="D33" s="47" t="s">
        <v>724</v>
      </c>
      <c r="E33" t="b">
        <f>NOT(ISERROR(VLOOKUP(A33,Table2[Name],1,FALSE)))</f>
        <v>1</v>
      </c>
    </row>
    <row r="34" spans="1:5" ht="15" thickBot="1" x14ac:dyDescent="0.35">
      <c r="A34" s="49" t="s">
        <v>99</v>
      </c>
      <c r="B34" s="50">
        <v>0.36805555555555558</v>
      </c>
      <c r="C34" s="49" t="s">
        <v>516</v>
      </c>
      <c r="D34" s="49" t="s">
        <v>725</v>
      </c>
      <c r="E34" t="b">
        <f>NOT(ISERROR(VLOOKUP(A34,Table2[Name],1,FALSE)))</f>
        <v>1</v>
      </c>
    </row>
    <row r="35" spans="1:5" ht="15" thickBot="1" x14ac:dyDescent="0.35">
      <c r="A35" s="47" t="s">
        <v>101</v>
      </c>
      <c r="B35" s="48">
        <v>0.3611111111111111</v>
      </c>
      <c r="C35" s="47" t="s">
        <v>516</v>
      </c>
      <c r="D35" s="47" t="s">
        <v>726</v>
      </c>
      <c r="E35" t="b">
        <f>NOT(ISERROR(VLOOKUP(A35,Table2[Name],1,FALSE)))</f>
        <v>1</v>
      </c>
    </row>
    <row r="36" spans="1:5" ht="15" thickBot="1" x14ac:dyDescent="0.35">
      <c r="A36" s="49" t="s">
        <v>104</v>
      </c>
      <c r="B36" s="50">
        <v>0.34722222222222227</v>
      </c>
      <c r="C36" s="49" t="s">
        <v>516</v>
      </c>
      <c r="D36" s="49" t="s">
        <v>727</v>
      </c>
      <c r="E36" t="b">
        <f>NOT(ISERROR(VLOOKUP(A36,Table2[Name],1,FALSE)))</f>
        <v>1</v>
      </c>
    </row>
    <row r="37" spans="1:5" ht="15" thickBot="1" x14ac:dyDescent="0.35">
      <c r="A37" s="47" t="s">
        <v>110</v>
      </c>
      <c r="B37" s="48">
        <v>0.34027777777777773</v>
      </c>
      <c r="C37" s="47" t="s">
        <v>516</v>
      </c>
      <c r="D37" s="47" t="s">
        <v>728</v>
      </c>
      <c r="E37" t="b">
        <f>NOT(ISERROR(VLOOKUP(A37,Table2[Name],1,FALSE)))</f>
        <v>1</v>
      </c>
    </row>
    <row r="38" spans="1:5" ht="15" thickBot="1" x14ac:dyDescent="0.35">
      <c r="A38" s="49" t="s">
        <v>477</v>
      </c>
      <c r="B38" s="50">
        <v>0.39583333333333331</v>
      </c>
      <c r="C38" s="49" t="s">
        <v>516</v>
      </c>
      <c r="D38" s="49" t="s">
        <v>729</v>
      </c>
      <c r="E38" t="b">
        <f>NOT(ISERROR(VLOOKUP(A38,Table2[Name],1,FALSE)))</f>
        <v>1</v>
      </c>
    </row>
    <row r="39" spans="1:5" ht="15" thickBot="1" x14ac:dyDescent="0.35">
      <c r="A39" s="47" t="s">
        <v>478</v>
      </c>
      <c r="B39" s="48">
        <v>0.4513888888888889</v>
      </c>
      <c r="C39" s="47" t="s">
        <v>516</v>
      </c>
      <c r="D39" s="47" t="s">
        <v>474</v>
      </c>
      <c r="E39" t="b">
        <f>NOT(ISERROR(VLOOKUP(A39,Table2[Name],1,FALSE)))</f>
        <v>1</v>
      </c>
    </row>
    <row r="40" spans="1:5" ht="15" thickBot="1" x14ac:dyDescent="0.35">
      <c r="A40" s="49" t="s">
        <v>117</v>
      </c>
      <c r="B40" s="50">
        <v>0.38194444444444442</v>
      </c>
      <c r="C40" s="49" t="s">
        <v>516</v>
      </c>
      <c r="D40" s="49" t="s">
        <v>730</v>
      </c>
      <c r="E40" t="b">
        <f>NOT(ISERROR(VLOOKUP(A40,Table2[Name],1,FALSE)))</f>
        <v>1</v>
      </c>
    </row>
    <row r="41" spans="1:5" ht="15" thickBot="1" x14ac:dyDescent="0.35">
      <c r="A41" s="47" t="s">
        <v>119</v>
      </c>
      <c r="B41" s="48">
        <v>0.41666666666666669</v>
      </c>
      <c r="C41" s="47" t="s">
        <v>516</v>
      </c>
      <c r="D41" s="47" t="s">
        <v>731</v>
      </c>
      <c r="E41" t="b">
        <f>NOT(ISERROR(VLOOKUP(A41,Table2[Name],1,FALSE)))</f>
        <v>1</v>
      </c>
    </row>
    <row r="42" spans="1:5" ht="15" thickBot="1" x14ac:dyDescent="0.35">
      <c r="A42" s="49" t="s">
        <v>120</v>
      </c>
      <c r="B42" s="50">
        <v>0.4236111111111111</v>
      </c>
      <c r="C42" s="49" t="s">
        <v>516</v>
      </c>
      <c r="D42" s="49" t="s">
        <v>732</v>
      </c>
      <c r="E42" t="b">
        <f>NOT(ISERROR(VLOOKUP(A42,Table2[Name],1,FALSE)))</f>
        <v>1</v>
      </c>
    </row>
    <row r="43" spans="1:5" ht="15" thickBot="1" x14ac:dyDescent="0.35">
      <c r="A43" s="47" t="s">
        <v>125</v>
      </c>
      <c r="B43" s="48">
        <v>0.40972222222222227</v>
      </c>
      <c r="C43" s="47" t="s">
        <v>516</v>
      </c>
      <c r="D43" s="47" t="s">
        <v>733</v>
      </c>
      <c r="E43" t="b">
        <f>NOT(ISERROR(VLOOKUP(A43,Table2[Name],1,FALSE)))</f>
        <v>1</v>
      </c>
    </row>
    <row r="44" spans="1:5" ht="15" thickBot="1" x14ac:dyDescent="0.35">
      <c r="A44" s="49" t="s">
        <v>126</v>
      </c>
      <c r="B44" s="50">
        <v>0.40972222222222227</v>
      </c>
      <c r="C44" s="49" t="s">
        <v>516</v>
      </c>
      <c r="D44" s="49" t="s">
        <v>734</v>
      </c>
      <c r="E44" t="b">
        <f>NOT(ISERROR(VLOOKUP(A44,Table2[Name],1,FALSE)))</f>
        <v>1</v>
      </c>
    </row>
    <row r="45" spans="1:5" ht="15" thickBot="1" x14ac:dyDescent="0.35">
      <c r="A45" s="47" t="s">
        <v>127</v>
      </c>
      <c r="B45" s="48">
        <v>0.33333333333333331</v>
      </c>
      <c r="C45" s="47" t="s">
        <v>516</v>
      </c>
      <c r="D45" s="47" t="s">
        <v>735</v>
      </c>
      <c r="E45" t="b">
        <f>NOT(ISERROR(VLOOKUP(A45,Table2[Name],1,FALSE)))</f>
        <v>1</v>
      </c>
    </row>
    <row r="46" spans="1:5" ht="15" thickBot="1" x14ac:dyDescent="0.35">
      <c r="A46" s="49" t="s">
        <v>128</v>
      </c>
      <c r="B46" s="50">
        <v>0.35416666666666669</v>
      </c>
      <c r="C46" s="49" t="s">
        <v>516</v>
      </c>
      <c r="D46" s="49" t="s">
        <v>736</v>
      </c>
      <c r="E46" t="b">
        <f>NOT(ISERROR(VLOOKUP(A46,Table2[Name],1,FALSE)))</f>
        <v>1</v>
      </c>
    </row>
    <row r="47" spans="1:5" ht="15" thickBot="1" x14ac:dyDescent="0.35">
      <c r="A47" s="47" t="s">
        <v>479</v>
      </c>
      <c r="B47" s="48">
        <v>0.38194444444444442</v>
      </c>
      <c r="C47" s="47" t="s">
        <v>516</v>
      </c>
      <c r="D47" s="47" t="s">
        <v>737</v>
      </c>
      <c r="E47" t="b">
        <f>NOT(ISERROR(VLOOKUP(A47,Table2[Name],1,FALSE)))</f>
        <v>1</v>
      </c>
    </row>
    <row r="48" spans="1:5" ht="15" thickBot="1" x14ac:dyDescent="0.35">
      <c r="A48" s="49" t="s">
        <v>130</v>
      </c>
      <c r="B48" s="50">
        <v>0.40277777777777773</v>
      </c>
      <c r="C48" s="49" t="s">
        <v>516</v>
      </c>
      <c r="D48" s="49" t="s">
        <v>672</v>
      </c>
      <c r="E48" t="b">
        <f>NOT(ISERROR(VLOOKUP(A48,Table2[Name],1,FALSE)))</f>
        <v>1</v>
      </c>
    </row>
    <row r="49" spans="1:5" ht="15" thickBot="1" x14ac:dyDescent="0.35">
      <c r="A49" s="47" t="s">
        <v>134</v>
      </c>
      <c r="B49" s="48">
        <v>0.35416666666666669</v>
      </c>
      <c r="C49" s="47" t="s">
        <v>516</v>
      </c>
      <c r="D49" s="47" t="s">
        <v>738</v>
      </c>
      <c r="E49" t="b">
        <f>NOT(ISERROR(VLOOKUP(A49,Table2[Name],1,FALSE)))</f>
        <v>1</v>
      </c>
    </row>
    <row r="50" spans="1:5" ht="15" thickBot="1" x14ac:dyDescent="0.35">
      <c r="A50" s="49" t="s">
        <v>142</v>
      </c>
      <c r="B50" s="50">
        <v>0.3888888888888889</v>
      </c>
      <c r="C50" s="49" t="s">
        <v>516</v>
      </c>
      <c r="D50" s="49" t="s">
        <v>739</v>
      </c>
      <c r="E50" t="b">
        <f>NOT(ISERROR(VLOOKUP(A50,Table2[Name],1,FALSE)))</f>
        <v>1</v>
      </c>
    </row>
    <row r="51" spans="1:5" ht="15" thickBot="1" x14ac:dyDescent="0.35">
      <c r="A51" s="47" t="s">
        <v>150</v>
      </c>
      <c r="B51" s="48">
        <v>0.34722222222222227</v>
      </c>
      <c r="C51" s="47" t="s">
        <v>516</v>
      </c>
      <c r="D51" s="47" t="s">
        <v>740</v>
      </c>
      <c r="E51" t="b">
        <f>NOT(ISERROR(VLOOKUP(A51,Table2[Name],1,FALSE)))</f>
        <v>1</v>
      </c>
    </row>
    <row r="52" spans="1:5" ht="15" thickBot="1" x14ac:dyDescent="0.35">
      <c r="A52" s="49" t="s">
        <v>480</v>
      </c>
      <c r="B52" s="50">
        <v>0.41666666666666669</v>
      </c>
      <c r="C52" s="49" t="s">
        <v>516</v>
      </c>
      <c r="D52" s="49" t="s">
        <v>741</v>
      </c>
      <c r="E52" t="b">
        <f>NOT(ISERROR(VLOOKUP(A52,Table2[Name],1,FALSE)))</f>
        <v>1</v>
      </c>
    </row>
    <row r="53" spans="1:5" ht="15" thickBot="1" x14ac:dyDescent="0.35">
      <c r="A53" s="47" t="s">
        <v>153</v>
      </c>
      <c r="B53" s="48">
        <v>0.41666666666666669</v>
      </c>
      <c r="C53" s="47" t="s">
        <v>516</v>
      </c>
      <c r="D53" s="47" t="s">
        <v>742</v>
      </c>
      <c r="E53" t="b">
        <f>NOT(ISERROR(VLOOKUP(A53,Table2[Name],1,FALSE)))</f>
        <v>1</v>
      </c>
    </row>
    <row r="54" spans="1:5" ht="15" thickBot="1" x14ac:dyDescent="0.35">
      <c r="A54" s="49" t="s">
        <v>154</v>
      </c>
      <c r="B54" s="50">
        <v>0.41666666666666669</v>
      </c>
      <c r="C54" s="49" t="s">
        <v>516</v>
      </c>
      <c r="D54" s="49" t="s">
        <v>743</v>
      </c>
      <c r="E54" t="b">
        <f>NOT(ISERROR(VLOOKUP(A54,Table2[Name],1,FALSE)))</f>
        <v>1</v>
      </c>
    </row>
    <row r="55" spans="1:5" ht="15" thickBot="1" x14ac:dyDescent="0.35">
      <c r="A55" s="47" t="s">
        <v>168</v>
      </c>
      <c r="B55" s="48">
        <v>0.3611111111111111</v>
      </c>
      <c r="C55" s="47" t="s">
        <v>516</v>
      </c>
      <c r="D55" s="47" t="s">
        <v>744</v>
      </c>
      <c r="E55" t="b">
        <f>NOT(ISERROR(VLOOKUP(A55,Table2[Name],1,FALSE)))</f>
        <v>1</v>
      </c>
    </row>
    <row r="56" spans="1:5" ht="15" thickBot="1" x14ac:dyDescent="0.35">
      <c r="A56" s="49" t="s">
        <v>172</v>
      </c>
      <c r="B56" s="50">
        <v>0.44444444444444442</v>
      </c>
      <c r="C56" s="49" t="s">
        <v>516</v>
      </c>
      <c r="D56" s="49" t="s">
        <v>745</v>
      </c>
      <c r="E56" t="b">
        <f>NOT(ISERROR(VLOOKUP(A56,Table2[Name],1,FALSE)))</f>
        <v>1</v>
      </c>
    </row>
    <row r="57" spans="1:5" ht="15" thickBot="1" x14ac:dyDescent="0.35">
      <c r="A57" s="47" t="s">
        <v>178</v>
      </c>
      <c r="B57" s="48">
        <v>0.40277777777777773</v>
      </c>
      <c r="C57" s="47" t="s">
        <v>516</v>
      </c>
      <c r="D57" s="47" t="s">
        <v>684</v>
      </c>
      <c r="E57" t="b">
        <f>NOT(ISERROR(VLOOKUP(A57,Table2[Name],1,FALSE)))</f>
        <v>1</v>
      </c>
    </row>
    <row r="58" spans="1:5" ht="15" thickBot="1" x14ac:dyDescent="0.35">
      <c r="A58" s="49" t="s">
        <v>481</v>
      </c>
      <c r="B58" s="50">
        <v>0.43055555555555558</v>
      </c>
      <c r="C58" s="49" t="s">
        <v>516</v>
      </c>
      <c r="D58" s="49" t="s">
        <v>746</v>
      </c>
      <c r="E58" t="b">
        <f>NOT(ISERROR(VLOOKUP(A58,Table2[Name],1,FALSE)))</f>
        <v>1</v>
      </c>
    </row>
    <row r="59" spans="1:5" ht="15" thickBot="1" x14ac:dyDescent="0.35">
      <c r="A59" s="47" t="s">
        <v>185</v>
      </c>
      <c r="B59" s="48">
        <v>0.4375</v>
      </c>
      <c r="C59" s="47" t="s">
        <v>516</v>
      </c>
      <c r="D59" s="47" t="s">
        <v>566</v>
      </c>
      <c r="E59" t="b">
        <f>NOT(ISERROR(VLOOKUP(A59,Table2[Name],1,FALSE)))</f>
        <v>1</v>
      </c>
    </row>
    <row r="60" spans="1:5" ht="15" thickBot="1" x14ac:dyDescent="0.35">
      <c r="A60" s="49" t="s">
        <v>186</v>
      </c>
      <c r="B60" s="50">
        <v>0.4375</v>
      </c>
      <c r="C60" s="49" t="s">
        <v>516</v>
      </c>
      <c r="D60" s="49" t="s">
        <v>567</v>
      </c>
      <c r="E60" t="b">
        <f>NOT(ISERROR(VLOOKUP(A60,Table2[Name],1,FALSE)))</f>
        <v>1</v>
      </c>
    </row>
    <row r="61" spans="1:5" ht="15" thickBot="1" x14ac:dyDescent="0.35">
      <c r="A61" s="47" t="s">
        <v>187</v>
      </c>
      <c r="B61" s="48">
        <v>0.4375</v>
      </c>
      <c r="C61" s="47" t="s">
        <v>516</v>
      </c>
      <c r="D61" s="47" t="s">
        <v>568</v>
      </c>
      <c r="E61" t="b">
        <f>NOT(ISERROR(VLOOKUP(A61,Table2[Name],1,FALSE)))</f>
        <v>1</v>
      </c>
    </row>
    <row r="62" spans="1:5" ht="15" thickBot="1" x14ac:dyDescent="0.35">
      <c r="A62" s="49" t="s">
        <v>188</v>
      </c>
      <c r="B62" s="50">
        <v>0.4375</v>
      </c>
      <c r="C62" s="49" t="s">
        <v>516</v>
      </c>
      <c r="D62" s="49" t="s">
        <v>569</v>
      </c>
      <c r="E62" t="b">
        <f>NOT(ISERROR(VLOOKUP(A62,Table2[Name],1,FALSE)))</f>
        <v>1</v>
      </c>
    </row>
    <row r="63" spans="1:5" ht="15" thickBot="1" x14ac:dyDescent="0.35">
      <c r="A63" s="47" t="s">
        <v>190</v>
      </c>
      <c r="B63" s="48">
        <v>0.33333333333333331</v>
      </c>
      <c r="C63" s="47" t="s">
        <v>516</v>
      </c>
      <c r="D63" s="47" t="s">
        <v>747</v>
      </c>
      <c r="E63" t="b">
        <f>NOT(ISERROR(VLOOKUP(A63,Table2[Name],1,FALSE)))</f>
        <v>1</v>
      </c>
    </row>
    <row r="64" spans="1:5" ht="15" thickBot="1" x14ac:dyDescent="0.35">
      <c r="A64" s="49" t="s">
        <v>482</v>
      </c>
      <c r="B64" s="50">
        <v>0.36805555555555558</v>
      </c>
      <c r="C64" s="49" t="s">
        <v>516</v>
      </c>
      <c r="D64" s="49" t="s">
        <v>748</v>
      </c>
      <c r="E64" t="b">
        <f>NOT(ISERROR(VLOOKUP(A64,Table2[Name],1,FALSE)))</f>
        <v>1</v>
      </c>
    </row>
    <row r="65" spans="1:5" ht="15" thickBot="1" x14ac:dyDescent="0.35">
      <c r="A65" s="47" t="s">
        <v>202</v>
      </c>
      <c r="B65" s="48">
        <v>0.33333333333333331</v>
      </c>
      <c r="C65" s="47" t="s">
        <v>516</v>
      </c>
      <c r="D65" s="47" t="s">
        <v>749</v>
      </c>
      <c r="E65" t="b">
        <f>NOT(ISERROR(VLOOKUP(A65,Table2[Name],1,FALSE)))</f>
        <v>1</v>
      </c>
    </row>
    <row r="66" spans="1:5" ht="15" thickBot="1" x14ac:dyDescent="0.35">
      <c r="A66" s="49" t="s">
        <v>204</v>
      </c>
      <c r="B66" s="50">
        <v>0.3611111111111111</v>
      </c>
      <c r="C66" s="49" t="s">
        <v>516</v>
      </c>
      <c r="D66" s="49" t="s">
        <v>750</v>
      </c>
      <c r="E66" t="b">
        <f>NOT(ISERROR(VLOOKUP(A66,Table2[Name],1,FALSE)))</f>
        <v>1</v>
      </c>
    </row>
    <row r="67" spans="1:5" ht="15" thickBot="1" x14ac:dyDescent="0.35">
      <c r="A67" s="47" t="s">
        <v>205</v>
      </c>
      <c r="B67" s="48">
        <v>0.3888888888888889</v>
      </c>
      <c r="C67" s="47" t="s">
        <v>634</v>
      </c>
      <c r="D67" s="47" t="s">
        <v>751</v>
      </c>
      <c r="E67" t="b">
        <f>NOT(ISERROR(VLOOKUP(A67,Table2[Name],1,FALSE)))</f>
        <v>1</v>
      </c>
    </row>
    <row r="68" spans="1:5" ht="15" thickBot="1" x14ac:dyDescent="0.35">
      <c r="A68" s="49" t="s">
        <v>209</v>
      </c>
      <c r="B68" s="50">
        <v>0.375</v>
      </c>
      <c r="C68" s="49" t="s">
        <v>516</v>
      </c>
      <c r="D68" s="49" t="s">
        <v>752</v>
      </c>
      <c r="E68" t="b">
        <f>NOT(ISERROR(VLOOKUP(A68,Table2[Name],1,FALSE)))</f>
        <v>1</v>
      </c>
    </row>
    <row r="69" spans="1:5" ht="15" thickBot="1" x14ac:dyDescent="0.35">
      <c r="A69" s="51" t="s">
        <v>483</v>
      </c>
      <c r="B69" s="52">
        <v>0.33333333333333331</v>
      </c>
      <c r="C69" s="51" t="s">
        <v>516</v>
      </c>
      <c r="D69" s="51" t="s">
        <v>681</v>
      </c>
      <c r="E69" t="b">
        <f>NOT(ISERROR(VLOOKUP(A69,Table2[Name],1,FALSE)))</f>
        <v>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All players</vt:lpstr>
      <vt:lpstr>Classic day 1 - groups</vt:lpstr>
      <vt:lpstr>Classic day 1 - players</vt:lpstr>
      <vt:lpstr>Classic day 2 - groups</vt:lpstr>
      <vt:lpstr>Classic day 2 - players</vt:lpstr>
      <vt:lpstr>Summer FD - groups</vt:lpstr>
      <vt:lpstr>Summer FD - players</vt:lpstr>
      <vt:lpstr>6-6-6 - groups</vt:lpstr>
      <vt:lpstr>6-6-6 - players</vt:lpstr>
      <vt:lpstr>Fall FD - groups</vt:lpstr>
      <vt:lpstr>Fall FD - players</vt:lpstr>
      <vt:lpstr>Stableford - groups</vt:lpstr>
      <vt:lpstr>Stableford - players</vt:lpstr>
      <vt:lpstr>Turkey Shoot - groups</vt:lpstr>
      <vt:lpstr>Turkey Shoot - players</vt:lpstr>
      <vt:lpstr>penalty lookup</vt:lpstr>
      <vt:lpstr>correlations</vt:lpstr>
      <vt:lpstr>Maximum_round_time</vt:lpstr>
      <vt:lpstr>standard_round_time</vt:lpstr>
      <vt:lpstr>starting_interval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dc:creator>
  <cp:lastModifiedBy>Reid</cp:lastModifiedBy>
  <dcterms:created xsi:type="dcterms:W3CDTF">2021-07-14T13:33:53Z</dcterms:created>
  <dcterms:modified xsi:type="dcterms:W3CDTF">2022-03-21T00:45:09Z</dcterms:modified>
</cp:coreProperties>
</file>